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Assumptions" sheetId="2" r:id="rId5"/>
    <sheet state="visible" name="Dev Costs" sheetId="3" r:id="rId6"/>
    <sheet state="visible" name="Construction Comps" sheetId="4" r:id="rId7"/>
    <sheet state="visible" name="P&amp;L (10yr)" sheetId="5" r:id="rId8"/>
    <sheet state="visible" name="Timeline" sheetId="6" r:id="rId9"/>
  </sheets>
  <definedNames/>
  <calcPr/>
  <extLst>
    <ext uri="GoogleSheetsCustomDataVersion2">
      <go:sheetsCustomData xmlns:go="http://customooxmlschemas.google.com/" r:id="rId10" roundtripDataChecksum="scMmZfyFWXeyFqvhGBPMK2eq87IlVacRCgbsONoKuw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ID#AAAB93SUyAE
tc={F636631F-177E-C146-847B-7C9EE60622B9}    (2026-06-22 15:35:42)
[Threaded comment]
Your version of Excel allows you to read this threaded comment; however, any edits to it will get removed if the file is opened in a newer version of Excel. Learn more: https://go.microsoft.com/fwlink/?linkid=870924
Comment:
    214 Days (May 31st - Dec 31st)</t>
      </text>
    </comment>
  </commentList>
  <extLst>
    <ext uri="GoogleSheetsCustomDataVersion2">
      <go:sheetsCustomData xmlns:go="http://customooxmlschemas.google.com/" r:id="rId1" roundtripDataSignature="AMtx7mhTNMayiBWxLHsiwvtEV4bttUspDg=="/>
    </ext>
  </extLst>
</comments>
</file>

<file path=xl/sharedStrings.xml><?xml version="1.0" encoding="utf-8"?>
<sst xmlns="http://schemas.openxmlformats.org/spreadsheetml/2006/main" count="437" uniqueCount="372">
  <si>
    <t>MEDICAL WELLNESS CLINIC – MALLORCA (PÒRTOL)</t>
  </si>
  <si>
    <t>Hotel Development Financial Model  |  Eterra Gruppe GmbH  |  April 2026</t>
  </si>
  <si>
    <t>Project</t>
  </si>
  <si>
    <t>Medical Spa &amp; Wellness Clinic, Pòrtol, Mallorca, Spain</t>
  </si>
  <si>
    <t>Asset Class</t>
  </si>
  <si>
    <t>Health / Clinic / Wellness Resort (MaBV / BTVG)</t>
  </si>
  <si>
    <t>Plot Size</t>
  </si>
  <si>
    <t>33,645 m² (3 ha Bauland + 4.5 ha Grünland)</t>
  </si>
  <si>
    <t>Total Keys</t>
  </si>
  <si>
    <t>80 Keys (50 Double Deluxe + 30 Suites)</t>
  </si>
  <si>
    <t>Clinic GFA</t>
  </si>
  <si>
    <t>20,700 m²</t>
  </si>
  <si>
    <t>Purchase Date</t>
  </si>
  <si>
    <t>1st October 2026</t>
  </si>
  <si>
    <t>Construction Start</t>
  </si>
  <si>
    <t>31 December 2027 (14 months post-purchase)</t>
  </si>
  <si>
    <t>Completion / Grand Opening</t>
  </si>
  <si>
    <t>31 May 2029 (Year 1 = 2029)</t>
  </si>
  <si>
    <t>Total Dev. Cost – TDC</t>
  </si>
  <si>
    <t>EUR 81,400,000.00</t>
  </si>
  <si>
    <t>Exit Revenue (NOI × 12.5×)</t>
  </si>
  <si>
    <t>EUR 250,000,000.00</t>
  </si>
  <si>
    <t>Whole Loan (original structure)</t>
  </si>
  <si>
    <t>EUR 56,042,000 | LTC 70%</t>
  </si>
  <si>
    <t>External Investor (20% Eq / 80% Debt)</t>
  </si>
  <si>
    <t>EUR 26.02M equity + EUR 56.04M debt over 10-yr hold</t>
  </si>
  <si>
    <t>DRAFT – For Discussion Purposes Only. KG categories follow DIN 276 German construction cost classification.</t>
  </si>
  <si>
    <t>Note on 'KG 100–800 Categories': KG stands for Kostengruppe (Cost Group) under DIN 276, the German construction cost standard widely used by European real estate developers. KG 100 = Land; KG 200 = Site Preparation; KG 300 = Building Structure; KG 400 = Building Services/MEP; KG 500 = External Works; KG 600 = Furnishings/FF&amp;E; KG 700 = Ancillary/Professional Fees; KG 800 = Financing. Each group captures a distinct phase of construction spend, enabling cost benchmarking against industry norms (e.g. EUR/m² GFA per category).</t>
  </si>
  <si>
    <t>MODEL ASSUMPTIONS REGISTER  |  Input Hub  |  Medical Wellness Clinic Mallorca</t>
  </si>
  <si>
    <t>Parameter</t>
  </si>
  <si>
    <t>Value</t>
  </si>
  <si>
    <t>Unit</t>
  </si>
  <si>
    <t>Source / Comment</t>
  </si>
  <si>
    <t>PROJECT</t>
  </si>
  <si>
    <t>units</t>
  </si>
  <si>
    <t xml:space="preserve">80 keys: 50 Double Deluxe + 30 Suites </t>
  </si>
  <si>
    <t>GFA Above Ground</t>
  </si>
  <si>
    <t>m²</t>
  </si>
  <si>
    <t>Grand Opening</t>
  </si>
  <si>
    <t>31 May 2029</t>
  </si>
  <si>
    <t>Exit Date</t>
  </si>
  <si>
    <t>10-year hold from opening</t>
  </si>
  <si>
    <t>DEVELOPMENT COSTS</t>
  </si>
  <si>
    <t>Total TDC (incl. financing)</t>
  </si>
  <si>
    <t>EUR</t>
  </si>
  <si>
    <t>Total TDC excl. financing</t>
  </si>
  <si>
    <t>NOI  (stabilised EBITDA – Year 4)</t>
  </si>
  <si>
    <t>Exit Cap Rate Multiplier</t>
  </si>
  <si>
    <t>x NOI</t>
  </si>
  <si>
    <t>8% Exit Cap (YP)</t>
  </si>
  <si>
    <t>Exit Valuation  (NOI × Exit Multiplier)</t>
  </si>
  <si>
    <t>Depreciation Life</t>
  </si>
  <si>
    <t>years</t>
  </si>
  <si>
    <t>Corporate Tax Rate</t>
  </si>
  <si>
    <t>%</t>
  </si>
  <si>
    <t>Spain – subject to optimisation</t>
  </si>
  <si>
    <t>ORIGINAL FINANCING STRUCTURE</t>
  </si>
  <si>
    <t>Bridge Loan (pre-permit)</t>
  </si>
  <si>
    <t>Bridge – covers permit costs</t>
  </si>
  <si>
    <t>Bridge Interest Rate</t>
  </si>
  <si>
    <t>% p.a.</t>
  </si>
  <si>
    <t>18% – pre-permit risk</t>
  </si>
  <si>
    <t>Bridge Arrangement Fee</t>
  </si>
  <si>
    <t>3% of loan</t>
  </si>
  <si>
    <t>Whole Loan (post-permit)</t>
  </si>
  <si>
    <t>Post-permit construction finance</t>
  </si>
  <si>
    <t>Whole Loan Interest Rate</t>
  </si>
  <si>
    <t>1% drawn balance</t>
  </si>
  <si>
    <t>Whole Loan Profit Share</t>
  </si>
  <si>
    <t>80% of profit above TDC</t>
  </si>
  <si>
    <t>EXTERNAL INVESTOR STRUCTURE (20/80)</t>
  </si>
  <si>
    <t>Total Investment (= TDC incl. financing)</t>
  </si>
  <si>
    <t>Equity Tranche (%)</t>
  </si>
  <si>
    <t>Equity Tranche (EUR)</t>
  </si>
  <si>
    <t>Debt Tranche (%)</t>
  </si>
  <si>
    <t>Debt Tranche (EUR)</t>
  </si>
  <si>
    <t>Debt Interest Rate (Investor Debt)</t>
  </si>
  <si>
    <t>Hold Period</t>
  </si>
  <si>
    <t>Preferred Return (equity hurdle)</t>
  </si>
  <si>
    <t>OPERATING ASSUMPTIONS</t>
  </si>
  <si>
    <t>Year 1 Occupancy</t>
  </si>
  <si>
    <t>Year 2 Occupancy</t>
  </si>
  <si>
    <t>Year 3 Occupancy</t>
  </si>
  <si>
    <t>Stabilised Occupancy (Yr 4+)</t>
  </si>
  <si>
    <t>Year 1 ADR – All-In Package</t>
  </si>
  <si>
    <t>EUR/night</t>
  </si>
  <si>
    <t>ADR Escalation Rate</t>
  </si>
  <si>
    <t>Revenue Escalation Rate</t>
  </si>
  <si>
    <t>Cost Escalation Rate</t>
  </si>
  <si>
    <t>Wellness Capture Rate (% of guests)</t>
  </si>
  <si>
    <t>OPERATING COST % ASSUMPTIONS  (Sources: Mallorca_FM_14_08_2025  |  Rows 46–78)</t>
  </si>
  <si>
    <t>Rooms Dept Cost % – Yr1 (% of Package Revenue)</t>
  </si>
  <si>
    <t>10.1% of Package Revenue  |  Source: Mallorca_FM Yr1 Rooms Dept 3,359k / Pkg Rev 33,249k = 10.1%</t>
  </si>
  <si>
    <t>Rooms Dept Cost % – Yr4+ (% of Package Revenue)</t>
  </si>
  <si>
    <t>9.65% of Package Revenue  |  Source: Mallorca_FM Yr4 Rooms Dept 5,792k / Pkg Rev 60,037k = 9.65%</t>
  </si>
  <si>
    <t>F&amp;B Dept Cost % – Yr1 (% of Total Revenue)</t>
  </si>
  <si>
    <t>6.29% of Total Revenue  |  Source: Mallorca_FM Yr1 F&amp;B Dept 2,174k / Total Rev 34,576k</t>
  </si>
  <si>
    <t>F&amp;B Dept Cost % – Yr10 (% of Total Revenue)</t>
  </si>
  <si>
    <t>5.61% of Total Revenue  |  Source: Mallorca_FM Yr10 F&amp;B Dept 4,910k / Total Rev 87,411k</t>
  </si>
  <si>
    <t>Spa Dept Cost % – Yr1 (% of Total Revenue)</t>
  </si>
  <si>
    <t>2.75% of Total Revenue  |  Source: Mallorca_FM Yr1 Spa Dept 951k / Total Rev 34,576k</t>
  </si>
  <si>
    <t>Spa Dept Cost % – Yr10 (% of Total Revenue)</t>
  </si>
  <si>
    <t>2.17% of Total Revenue  |  Source: Mallorca_FM Yr10 Spa Dept 1,898k / Total Rev 87,411k</t>
  </si>
  <si>
    <t>Admin &amp; General % – Yr1</t>
  </si>
  <si>
    <t>37.6% of revenue  |  Source: Mallorca_FM P&amp;L Yr1 A&amp;G 13,008k / 34,576k</t>
  </si>
  <si>
    <t>Admin &amp; General % – Yr4+</t>
  </si>
  <si>
    <t>21.6% of revenue  |  Source: Mallorca_FM P&amp;L Yr4 A&amp;G 13,912k / 62,433k</t>
  </si>
  <si>
    <t>Sales &amp; Marketing % – Yr1</t>
  </si>
  <si>
    <t>14.0% of revenue  |  Source: Mallorca_FM P&amp;L Yr1</t>
  </si>
  <si>
    <t>Sales &amp; Marketing % – Yr4+</t>
  </si>
  <si>
    <t>10.0% of revenue  |  Source: Mallorca_FM P&amp;L Yr4+</t>
  </si>
  <si>
    <t>Property &amp; Maint % – Yr1</t>
  </si>
  <si>
    <t>2.0% of revenue  |  Source: Mallorca_FM P&amp;L Yr1</t>
  </si>
  <si>
    <t>Property &amp; Maint % – Yr4+</t>
  </si>
  <si>
    <t>4.0% of revenue  |  Source: Mallorca_FM P&amp;L Yr4+</t>
  </si>
  <si>
    <t>Utilities % – Yr1</t>
  </si>
  <si>
    <t>4.6% of revenue  |  Source: Mallorca_FM P&amp;L Yr1 Utilities 1,601k / 34,576k</t>
  </si>
  <si>
    <t>Utilities % – Yr4+</t>
  </si>
  <si>
    <t>4.0% of revenue  |  Source: Mallorca_FM P&amp;L Yr4</t>
  </si>
  <si>
    <t>Replacement Reserve % – Yr1</t>
  </si>
  <si>
    <t>1.0% Yr1, 2.0% Yr2, 3.0% Yr3, 4.0% Yr4+  |  Source: Mallorca_FM P&amp;L</t>
  </si>
  <si>
    <t>Replacement Reserve % – Yr4+</t>
  </si>
  <si>
    <t>4.0% of revenue from Yr4  |  Source: Mallorca_FM P&amp;L</t>
  </si>
  <si>
    <t>F&amp;B Incremental Base (EUR k)</t>
  </si>
  <si>
    <t>EUR k</t>
  </si>
  <si>
    <t>Yr1 F&amp;B incremental 221k  |  Source: Mallorca_FM P&amp;L Food&amp;Bev Rev</t>
  </si>
  <si>
    <t>Spa Incremental Base (EUR k)</t>
  </si>
  <si>
    <t>Yr1 Spa incremental 966k  |  Source: Mallorca_FM P&amp;L Spa&amp;Wellness Rev</t>
  </si>
  <si>
    <t>Other Depts Base (EUR k)</t>
  </si>
  <si>
    <t>Yr1 Other Depts 140k  |  Source: Mallorca_FM P&amp;L Other Operated Depts</t>
  </si>
  <si>
    <t>Sales &amp; Marketing % – Yr2</t>
  </si>
  <si>
    <t>12% of revenue  |  Source: Mallorca_FM P&amp;L Yr2 S&amp;M 5,469k / 46,389k</t>
  </si>
  <si>
    <t>Sales &amp; Marketing % – Yr3</t>
  </si>
  <si>
    <t>11% of revenue  |  Source: Mallorca_FM P&amp;L Yr3 S&amp;M 5,872k / 55,062k</t>
  </si>
  <si>
    <t>Utilities % – Yr2</t>
  </si>
  <si>
    <t>4.41% of revenue  |  Source: Mallorca_FM P&amp;L Yr2 Utilities 2,046k / 46,389k</t>
  </si>
  <si>
    <t>Utilities % – Yr3</t>
  </si>
  <si>
    <t>4.20% of revenue  |  Source: Mallorca_FM P&amp;L Yr3 Utilities 2,313k / 55,062k</t>
  </si>
  <si>
    <t>Replacement Reserve % – Yr2</t>
  </si>
  <si>
    <t>2% of revenue Yr2  |  Source: Mallorca_FM P&amp;L Replacement Reserve (RFF&amp;E)</t>
  </si>
  <si>
    <t>Replacement Reserve % – Yr3</t>
  </si>
  <si>
    <t>3% of revenue Yr3  |  Source: Mallorca_FM P&amp;L Replacement Reserve (RFF&amp;E)</t>
  </si>
  <si>
    <t>Admin &amp; General % – Yr10</t>
  </si>
  <si>
    <t>16.97% of revenue Yr10  |  Source: Mallorca_FM P&amp;L A&amp;G / Total Revenue Yr10</t>
  </si>
  <si>
    <t>Utilities % – Yr10</t>
  </si>
  <si>
    <t>3.22% of revenue Yr10  |  Source: Mallorca_FM P&amp;L Utilities % Yr10</t>
  </si>
  <si>
    <t>Marketing Fee % (% of Revenue)</t>
  </si>
  <si>
    <t>0.5% of Total Revenue  |  Source: Mallorca_FM P&amp;L Marketing Fee = 0.5%</t>
  </si>
  <si>
    <t>Base Management Fee % (% of Revenue)</t>
  </si>
  <si>
    <t>3.0% of Total Revenue  |  Source: Mallorca_FM P&amp;L Base Management Fee = 3%</t>
  </si>
  <si>
    <t>Building Insurance % (% of Revenue)</t>
  </si>
  <si>
    <t>0.3% of Total Revenue  |  Source: Mallorca_FM P&amp;L Building Insurance ≈ 0.3%</t>
  </si>
  <si>
    <t>Other Depts Cost % (% of Other Revenue)</t>
  </si>
  <si>
    <t>12.2% of Other Operated Revenue  |  Source: Mallorca_FM P&amp;L avg 12.2%</t>
  </si>
  <si>
    <t>Incentive Fee % (of AGOP above threshold)</t>
  </si>
  <si>
    <t>7% of Adjusted GOP above 15% revenue threshold  |  Source: Mallorca_FM operator agreement</t>
  </si>
  <si>
    <t>Incentive Fee GOP Threshold %</t>
  </si>
  <si>
    <t>15% of Total Revenue threshold for incentive fee  |  Source: Mallorca_FM operator agreement</t>
  </si>
  <si>
    <t>DEVELOPMENT COST SUMMARY  |  Medical Wellness Clinic Mallorca (Pòrtol)  |  KG 100–800 (DIN 276)</t>
  </si>
  <si>
    <t>Cost Category  (KG = Kostengruppe, DIN 276)</t>
  </si>
  <si>
    <t>Total (EUR)</t>
  </si>
  <si>
    <t>EUR/m² GFA</t>
  </si>
  <si>
    <t>% of TDC</t>
  </si>
  <si>
    <t>Phase 1–2 (EUR)</t>
  </si>
  <si>
    <t>Phase 3 (EUR)</t>
  </si>
  <si>
    <t>KG (Kostengruppe) is the German DIN 276 construction cost classification standard. KG 100=Land, KG 200=Site Prep, KG 300–400=Construction (structure + services/MEP), KG 500=External Works, KG 600=FF&amp;E/Furnishings, KG 700=Professional/Ancillary Fees, KG 800=Financing. This framework enables consistent cost benchmarking across European development projects.</t>
  </si>
  <si>
    <t>KG 100  –  LAND &amp; ACQUISITION  |  Grundstück</t>
  </si>
  <si>
    <t>Notes</t>
  </si>
  <si>
    <t xml:space="preserve">  Plot Acquisition – net price</t>
  </si>
  <si>
    <t xml:space="preserve">  Ancillary Costs – Notary, Land Registry (0.29%), ITP (10%), Lawyer, Insurance</t>
  </si>
  <si>
    <t xml:space="preserve">  Abfindung – Pre-dev Compensation &amp; Downpayment</t>
  </si>
  <si>
    <t xml:space="preserve">  Broker Commission – Main Plot</t>
  </si>
  <si>
    <t xml:space="preserve">  Mobilisation &amp; Advisory Costs</t>
  </si>
  <si>
    <t xml:space="preserve">  Medical Market Feasibility Study</t>
  </si>
  <si>
    <t>SUBTOTAL – KG 100</t>
  </si>
  <si>
    <t>KG 200  –  SITE PREPARATION &amp; DEVELOPMENT  |  Vorbereitende Maßnahmen</t>
  </si>
  <si>
    <t xml:space="preserve">  Public Infrastructure – Urbanisation Roads &amp; Services</t>
  </si>
  <si>
    <t xml:space="preserve">  ZL Consulting – Development &amp; Transaction Advisory</t>
  </si>
  <si>
    <t xml:space="preserve">  Innova 21 – Urbanisation Works (Aïnhoa Barajas-Nájera)</t>
  </si>
  <si>
    <t xml:space="preserve">  Urbanisation – Electricity Cable</t>
  </si>
  <si>
    <t>SUBTOTAL – KG 200</t>
  </si>
  <si>
    <t>KG 300–400  –  CONSTRUCTION  |  Bauwerk (Structure + MEP)</t>
  </si>
  <si>
    <t xml:space="preserve">  Rooms &amp; Suites  </t>
  </si>
  <si>
    <t xml:space="preserve">  Front of House / F&amp;B</t>
  </si>
  <si>
    <t xml:space="preserve">  Clinic &amp; Wellness</t>
  </si>
  <si>
    <t xml:space="preserve">  Main Pool Area</t>
  </si>
  <si>
    <t xml:space="preserve">  Back of House / Installations</t>
  </si>
  <si>
    <t xml:space="preserve">  Underground Parking</t>
  </si>
  <si>
    <t xml:space="preserve">  Construction Reserve </t>
  </si>
  <si>
    <t>SUBTOTAL – KG 300</t>
  </si>
  <si>
    <t>KG 500  –  EXTERNAL WORKS &amp; LANDSCAPING  |  Außenanlagen</t>
  </si>
  <si>
    <t xml:space="preserve">  Outdoor Facilities, Landscaping &amp; Gardens  |  15,354 m² land area  |  EUR 123/m²</t>
  </si>
  <si>
    <t>SUBTOTAL – KG 500</t>
  </si>
  <si>
    <t>KG 600  –  FF&amp;E, OS&amp;E &amp; MEDICAL EQUIPMENT  |  Ausstattung</t>
  </si>
  <si>
    <t xml:space="preserve">  FF&amp;E – Rooms  |  60 units  |  EUR 50,000/unit</t>
  </si>
  <si>
    <t xml:space="preserve">  FF&amp;E – Public Areas, F&amp;B &amp; Wellness</t>
  </si>
  <si>
    <t xml:space="preserve">  Medical Equipment – Clinic specification</t>
  </si>
  <si>
    <t xml:space="preserve">  Technical Equipment, Cleaning Areas &amp; Equipment</t>
  </si>
  <si>
    <t>SUBTOTAL – KG 600</t>
  </si>
  <si>
    <t>KG 700  –  PROFESSIONAL &amp; ANCILLARY FEES  |  Baunebenkosten</t>
  </si>
  <si>
    <t xml:space="preserve">  Architects &amp; Engineering Services </t>
  </si>
  <si>
    <t xml:space="preserve">  Project Management / GU / General Contractor</t>
  </si>
  <si>
    <t xml:space="preserve">  Development Fee  |  15.00% of GIK</t>
  </si>
  <si>
    <t xml:space="preserve">  Commercial &amp; Legal Support incl. Sales</t>
  </si>
  <si>
    <t xml:space="preserve">  Hotel Operator Pre-Opening &amp; Service Agreement Fee</t>
  </si>
  <si>
    <t xml:space="preserve">  Operator Search – Michaeler &amp; Partner</t>
  </si>
  <si>
    <t xml:space="preserve">  Fee Intermediaries – Greenturtle Financial Structuring</t>
  </si>
  <si>
    <t xml:space="preserve">  Consultancy &amp; Advisory Fees (Wimmer)</t>
  </si>
  <si>
    <t xml:space="preserve">  Construction Insurance</t>
  </si>
  <si>
    <t xml:space="preserve">  City Council Licences</t>
  </si>
  <si>
    <t>SUBTOTAL – KG 700</t>
  </si>
  <si>
    <t>KG 800  –  FINANCING COSTS  |  Finanzierung</t>
  </si>
  <si>
    <t xml:space="preserve">  Bridge Loan (Funding pre Permit) – Interest  |  18% p.a.</t>
  </si>
  <si>
    <t xml:space="preserve">  Bridge Loan – Arrangement Fee  |  3%</t>
  </si>
  <si>
    <t xml:space="preserve">  Whole Loan after Permit – Interest  |  1% drawn</t>
  </si>
  <si>
    <t>SUBTOTAL – KG 800</t>
  </si>
  <si>
    <t>SUBTOTAL DEVELOPMENT COSTS (TDC)  –  KG 100–800</t>
  </si>
  <si>
    <t>Cost per Key incl. Land (TDC / 80 keys)</t>
  </si>
  <si>
    <t>Cost per Key excl. Financing</t>
  </si>
  <si>
    <t>Contingency</t>
  </si>
  <si>
    <t>TOTAL DEVELOPMENT COSTS (TDC)  –  KG 100–800</t>
  </si>
  <si>
    <t>Hotel / Project</t>
  </si>
  <si>
    <t>Location</t>
  </si>
  <si>
    <t>Total Cost</t>
  </si>
  <si>
    <t>Number of Rooms</t>
  </si>
  <si>
    <t>Cost per Key</t>
  </si>
  <si>
    <t>Category</t>
  </si>
  <si>
    <t>Comments / Source</t>
  </si>
  <si>
    <t>Mandarin Oriental</t>
  </si>
  <si>
    <t>Mallorca, Spain</t>
  </si>
  <si>
    <t>EUR 180,000,000</t>
  </si>
  <si>
    <t>Redevelopment</t>
  </si>
  <si>
    <t>ZEM Wellness Clinic</t>
  </si>
  <si>
    <t>Alicante, Spain</t>
  </si>
  <si>
    <t>EUR 90,000,000</t>
  </si>
  <si>
    <t>Four Seasons Formentor</t>
  </si>
  <si>
    <t>EUR 170,000,000</t>
  </si>
  <si>
    <t>New Build</t>
  </si>
  <si>
    <t>Hotel Mandarin</t>
  </si>
  <si>
    <t>Barcelona, Spain</t>
  </si>
  <si>
    <t>EUR 220,000,000</t>
  </si>
  <si>
    <t>Four Seasons Madrid</t>
  </si>
  <si>
    <t>Madrid, Spain</t>
  </si>
  <si>
    <t>EUR 80,000,000</t>
  </si>
  <si>
    <t>10-YEAR OPERATING P&amp;L  |  Medical Wellness Clinic Mallorca  |  80 Keys  |  EUR '000s  |  Year 1 = 2029</t>
  </si>
  <si>
    <t>EUR '000s</t>
  </si>
  <si>
    <t>Yr 1
2029</t>
  </si>
  <si>
    <t>Yr 2
2030</t>
  </si>
  <si>
    <t>Yr 3
2031</t>
  </si>
  <si>
    <t>Yr 4
2032</t>
  </si>
  <si>
    <t>Yr 5
2033</t>
  </si>
  <si>
    <t>Yr 6
2034</t>
  </si>
  <si>
    <t>Yr 7
2035</t>
  </si>
  <si>
    <t>Yr 8
2036</t>
  </si>
  <si>
    <t>Yr 9
2037</t>
  </si>
  <si>
    <t>Yr 10
2038</t>
  </si>
  <si>
    <t>10yr Total</t>
  </si>
  <si>
    <t>KEY OPERATING ASSUMPTIONS  |  Blue = Hardcoded Input  |  Green = Linked from Assumptions Tab  |  Black = Formula</t>
  </si>
  <si>
    <t xml:space="preserve">  Total Keys</t>
  </si>
  <si>
    <t xml:space="preserve">  Room Occupancy %</t>
  </si>
  <si>
    <t xml:space="preserve">  Rooms Occupied (nights)</t>
  </si>
  <si>
    <t xml:space="preserve">  ADR – All-In Package (EUR/night)</t>
  </si>
  <si>
    <t xml:space="preserve">  RevPAR (EUR/night)</t>
  </si>
  <si>
    <t xml:space="preserve">  Wellness Capture Rate (% guests)</t>
  </si>
  <si>
    <t xml:space="preserve">  Revenue Escalation Rate (p.a.)</t>
  </si>
  <si>
    <t xml:space="preserve">  Cost Escalation Rate (p.a.)</t>
  </si>
  <si>
    <t>REVENUE</t>
  </si>
  <si>
    <t xml:space="preserve">  Package Revenue  (Rooms Occupied × ADR ÷ 1,000)</t>
  </si>
  <si>
    <t xml:space="preserve">  Food &amp; Beverage Revenue  (incremental, above package)</t>
  </si>
  <si>
    <t xml:space="preserve">  Spa &amp; Wellness Revenue  (incremental, above package)</t>
  </si>
  <si>
    <t xml:space="preserve">  Other Operated Departments</t>
  </si>
  <si>
    <t>TOTAL REVENUE</t>
  </si>
  <si>
    <t>DEPARTMENTAL EXPENSES</t>
  </si>
  <si>
    <t xml:space="preserve">    Rooms Dept Cost %</t>
  </si>
  <si>
    <t xml:space="preserve">  Rooms Department</t>
  </si>
  <si>
    <t xml:space="preserve">    F&amp;B Dept Cost %  (% of F&amp;B + Spa Revenue)</t>
  </si>
  <si>
    <t xml:space="preserve">  Food &amp; Beverage Department</t>
  </si>
  <si>
    <t xml:space="preserve">    Spa &amp; Wellness Dept Cost %  (% of Spa Revenue)</t>
  </si>
  <si>
    <t xml:space="preserve">  Spa &amp; Wellness Department</t>
  </si>
  <si>
    <t>TOTAL DEPARTMENTAL EXPENSES</t>
  </si>
  <si>
    <t>TOTAL DEPARTMENTAL PROFIT</t>
  </si>
  <si>
    <t>UNDISTRIBUTED OPERATING EXPENSES</t>
  </si>
  <si>
    <t xml:space="preserve">  Admin &amp; General %  (% of Total Revenue)</t>
  </si>
  <si>
    <t xml:space="preserve">  Admin &amp; General</t>
  </si>
  <si>
    <t xml:space="preserve">    Sales &amp; Marketing %</t>
  </si>
  <si>
    <t xml:space="preserve">  Sales &amp; Marketing</t>
  </si>
  <si>
    <t xml:space="preserve">  Marketing Fee  (0.5% of Total Revenue)</t>
  </si>
  <si>
    <t xml:space="preserve">    Property &amp; Maintenance %</t>
  </si>
  <si>
    <t xml:space="preserve">  Property &amp; Maintenance</t>
  </si>
  <si>
    <t xml:space="preserve">    Utilities %</t>
  </si>
  <si>
    <t xml:space="preserve">  Utilities</t>
  </si>
  <si>
    <t>TOTAL UNDISTRIBUTED EXPENSES</t>
  </si>
  <si>
    <t>GOP BEFORE MANAGEMENT FEES</t>
  </si>
  <si>
    <t xml:space="preserve">  GOP Margin %</t>
  </si>
  <si>
    <t>MANAGEMENT FEES</t>
  </si>
  <si>
    <t xml:space="preserve">  Base Management Fee  (3.0% of Total Revenue)</t>
  </si>
  <si>
    <t>ADJUSTED GOP  (after Base Management Fee)</t>
  </si>
  <si>
    <t xml:space="preserve">  Incentive Management Fee  (7% of AGOP above 15% revenue threshold)</t>
  </si>
  <si>
    <t>FIXED CHARGES</t>
  </si>
  <si>
    <t xml:space="preserve">  Building Insurance  (0.3% of Total Revenue)</t>
  </si>
  <si>
    <t xml:space="preserve">    Replacement Reserve %  (FF&amp;E ramp 1%→2%→3%→4%+)</t>
  </si>
  <si>
    <t xml:space="preserve">  Replacement Reserve  (FF&amp;E)</t>
  </si>
  <si>
    <t>TOTAL FIXED CHARGES</t>
  </si>
  <si>
    <t>EBITDA  &amp;  BELOW-THE-LINE</t>
  </si>
  <si>
    <t>EBITDA</t>
  </si>
  <si>
    <t xml:space="preserve">  EBITDA Margin %</t>
  </si>
  <si>
    <t xml:space="preserve">  Depreciation  (TDC ÷ Depreciable Life ÷ 1,000)</t>
  </si>
  <si>
    <t>EBIT  (Earnings Before Interest &amp; Tax)</t>
  </si>
  <si>
    <t xml:space="preserve">  Corporation Tax  (linked rate from Assumptions tab)</t>
  </si>
  <si>
    <t>NET PROFIT  (post-tax)</t>
  </si>
  <si>
    <t>KEY PERFORMANCE METRICS</t>
  </si>
  <si>
    <t xml:space="preserve">  EBITDA Margin %  (ref)</t>
  </si>
  <si>
    <t xml:space="preserve">  Net Profit Margin %</t>
  </si>
  <si>
    <t xml:space="preserve">  Cumulative Net Profit  (running total)</t>
  </si>
  <si>
    <t>DEVELOPMENT TIMELINE  |  Medical Wellness Clinic Mallorca  |  Apr 2026 – May 2029 (Grand Opening)  |  Exit May 2039</t>
  </si>
  <si>
    <t>Milestone / Activity</t>
  </si>
  <si>
    <t>Q2
'26</t>
  </si>
  <si>
    <t>Q3
'26</t>
  </si>
  <si>
    <t>Q4
'26</t>
  </si>
  <si>
    <t>Q1
'27</t>
  </si>
  <si>
    <t>Q2
'27</t>
  </si>
  <si>
    <t>Q3
'27</t>
  </si>
  <si>
    <t>Q4
'27</t>
  </si>
  <si>
    <t>Q1
'28</t>
  </si>
  <si>
    <t>Q2
'28</t>
  </si>
  <si>
    <t>Q3
'28</t>
  </si>
  <si>
    <t>Q4
'28</t>
  </si>
  <si>
    <t>Q1
'29</t>
  </si>
  <si>
    <t>Q2
'29</t>
  </si>
  <si>
    <t>Q3
'29</t>
  </si>
  <si>
    <t>Q4
'29</t>
  </si>
  <si>
    <t>Q1
'30</t>
  </si>
  <si>
    <t>Q2
'30</t>
  </si>
  <si>
    <t>Q3
'30</t>
  </si>
  <si>
    <t>LAND &amp; ACQUISITION</t>
  </si>
  <si>
    <t>Plot Purchase, Notary &amp; ITP Tax (KG 100)</t>
  </si>
  <si>
    <t>Legal Due Diligence &amp; Compensation Payments</t>
  </si>
  <si>
    <t>Bridge Loan Drawdown (EUR 9M)</t>
  </si>
  <si>
    <t>PLANNING &amp; PERMITS  (KG 200)</t>
  </si>
  <si>
    <t>Medical Market Feasibility (Michaeler &amp; Partner)</t>
  </si>
  <si>
    <t>Schematic &amp; Detailed Design (Jordi Herrero)</t>
  </si>
  <si>
    <t>Operator HOT / LOI Finalisation</t>
  </si>
  <si>
    <t>Urbanisation Works – Innova 21 (KG 200)</t>
  </si>
  <si>
    <t>Building Permit Application &amp; Tracking</t>
  </si>
  <si>
    <t>★  Building Permit Granted (target Q4 2027)</t>
  </si>
  <si>
    <t>Whole Loan Drawdown (EUR 60M)</t>
  </si>
  <si>
    <t>CONSTRUCTION  (KG 300–400)</t>
  </si>
  <si>
    <t>Site Preparation &amp; Excavation</t>
  </si>
  <si>
    <t>Shell &amp; Core Structure (Rohbau)</t>
  </si>
  <si>
    <t>MEP &amp; Rough-in (Rohinstallation  KG 400)</t>
  </si>
  <si>
    <t>★  Roof Completion (Nov 2028)</t>
  </si>
  <si>
    <t>Internal Fit-Out &amp; Finishes</t>
  </si>
  <si>
    <t>External Landscaping &amp; Pool (KG 500)</t>
  </si>
  <si>
    <t>FF&amp;E &amp; Medical Equipment Installation (KG 600)</t>
  </si>
  <si>
    <t>PRE-OPENING</t>
  </si>
  <si>
    <t>Staff Recruitment &amp; Training</t>
  </si>
  <si>
    <t>Health Authority Sign-off</t>
  </si>
  <si>
    <t>★  Grand Opening (31 May 2029)</t>
  </si>
  <si>
    <t>Exit / Investor Sale (10yr hold end May 2039)</t>
  </si>
  <si>
    <t>KEY DATES</t>
  </si>
  <si>
    <t>Land Purchase</t>
  </si>
  <si>
    <t>Building Permit (target)</t>
  </si>
  <si>
    <t>31 Dec 2027</t>
  </si>
  <si>
    <t>Shell Complete</t>
  </si>
  <si>
    <t>31 Dec 2028</t>
  </si>
  <si>
    <t>MEP Complete</t>
  </si>
  <si>
    <t>31 Jan 2029</t>
  </si>
  <si>
    <t>Roof Complete</t>
  </si>
  <si>
    <t>30 Nov 2028</t>
  </si>
  <si>
    <t>Construction Complete</t>
  </si>
  <si>
    <t>28 Feb 2029</t>
  </si>
  <si>
    <t>Exit (10yr hold)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</si>
</sst>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;\(#,##0\);\-"/>
    <numFmt numFmtId="165" formatCode="d\ mmmm\ yyyy"/>
    <numFmt numFmtId="166" formatCode="0.0\x"/>
    <numFmt numFmtId="167" formatCode="0.0%;\(0.0%\);\-"/>
    <numFmt numFmtId="168" formatCode="0.00%;\(0.00%\);\-"/>
    <numFmt numFmtId="169" formatCode="0.00&quot; yrs&quot;"/>
  </numFmts>
  <fonts count="23">
    <font>
      <sz val="11.0"/>
      <color theme="1"/>
      <name val="Calibri"/>
      <scheme val="minor"/>
    </font>
    <font>
      <b/>
      <sz val="20.0"/>
      <color rgb="FFFFFFFF"/>
      <name val="Arial"/>
    </font>
    <font/>
    <font>
      <i/>
      <sz val="13.0"/>
      <color rgb="FFFFFFFF"/>
      <name val="Arial"/>
    </font>
    <font>
      <sz val="11.0"/>
      <color theme="1"/>
      <name val="Calibri"/>
    </font>
    <font>
      <b/>
      <sz val="10.0"/>
      <color rgb="FF000000"/>
      <name val="Arial"/>
    </font>
    <font>
      <sz val="11.0"/>
      <color rgb="FF0000FF"/>
      <name val="Arial"/>
    </font>
    <font>
      <i/>
      <sz val="8.0"/>
      <color rgb="FF7F7F7F"/>
      <name val="Arial"/>
    </font>
    <font>
      <sz val="9.0"/>
      <color rgb="FF1F3864"/>
      <name val="Arial"/>
    </font>
    <font>
      <b/>
      <sz val="12.0"/>
      <color rgb="FFFFFFFF"/>
      <name val="Arial"/>
    </font>
    <font>
      <b/>
      <sz val="10.0"/>
      <color rgb="FFFFFFFF"/>
      <name val="Arial"/>
    </font>
    <font>
      <sz val="10.0"/>
      <color rgb="FF000000"/>
      <name val="Arial"/>
    </font>
    <font>
      <sz val="10.0"/>
      <color rgb="FF0000FF"/>
      <name val="Arial"/>
    </font>
    <font>
      <sz val="9.0"/>
      <color rgb="FF7F7F7F"/>
      <name val="Arial"/>
    </font>
    <font>
      <i/>
      <sz val="9.0"/>
      <color rgb="FF7F7F7F"/>
      <name val="Arial"/>
    </font>
    <font>
      <b/>
      <sz val="10.0"/>
      <color rgb="FF006400"/>
      <name val="Arial"/>
    </font>
    <font>
      <sz val="10.0"/>
      <color rgb="FF006400"/>
      <name val="Arial"/>
    </font>
    <font>
      <i/>
      <sz val="9.0"/>
      <color rgb="FF1F3864"/>
      <name val="Arial"/>
    </font>
    <font>
      <b/>
      <sz val="11.0"/>
      <color theme="1"/>
      <name val="Calibri"/>
    </font>
    <font>
      <sz val="11.0"/>
      <color rgb="FF0000FF"/>
      <name val="Calibri"/>
    </font>
    <font>
      <sz val="11.0"/>
      <color rgb="FF006400"/>
      <name val="Calibri"/>
    </font>
    <font>
      <b/>
      <sz val="11.0"/>
      <color rgb="FFFFFFFF"/>
      <name val="Arial"/>
    </font>
    <font>
      <sz val="10.0"/>
      <color rgb="FF7F7F7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C9A84C"/>
        <bgColor rgb="FFC9A84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BF3FB"/>
        <bgColor rgb="FFEBF3FB"/>
      </patternFill>
    </fill>
    <fill>
      <patternFill patternType="solid">
        <fgColor rgb="FFD9D9D9"/>
        <bgColor rgb="FFD9D9D9"/>
      </patternFill>
    </fill>
    <fill>
      <patternFill patternType="solid">
        <fgColor rgb="FF4472C4"/>
        <bgColor rgb="FF4472C4"/>
      </patternFill>
    </fill>
    <fill>
      <patternFill patternType="solid">
        <fgColor rgb="FFE26B0A"/>
        <bgColor rgb="FFE26B0A"/>
      </patternFill>
    </fill>
    <fill>
      <patternFill patternType="solid">
        <fgColor rgb="FF70AD47"/>
        <bgColor rgb="FF70AD47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4" fillId="3" fontId="4" numFmtId="0" xfId="0" applyBorder="1" applyFill="1" applyFont="1"/>
    <xf borderId="1" fillId="4" fontId="5" numFmtId="0" xfId="0" applyAlignment="1" applyBorder="1" applyFill="1" applyFont="1">
      <alignment horizontal="left" vertical="center"/>
    </xf>
    <xf borderId="1" fillId="5" fontId="6" numFmtId="0" xfId="0" applyAlignment="1" applyBorder="1" applyFill="1" applyFont="1">
      <alignment horizontal="left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left" readingOrder="0"/>
    </xf>
    <xf borderId="0" fillId="0" fontId="7" numFmtId="0" xfId="0" applyFont="1"/>
    <xf borderId="1" fillId="6" fontId="8" numFmtId="0" xfId="0" applyAlignment="1" applyBorder="1" applyFill="1" applyFont="1">
      <alignment horizontal="left" shrinkToFit="0" vertical="top" wrapText="1"/>
    </xf>
    <xf borderId="1" fillId="2" fontId="9" numFmtId="0" xfId="0" applyAlignment="1" applyBorder="1" applyFont="1">
      <alignment horizontal="left" vertical="center"/>
    </xf>
    <xf borderId="4" fillId="7" fontId="5" numFmtId="0" xfId="0" applyAlignment="1" applyBorder="1" applyFill="1" applyFont="1">
      <alignment horizontal="center" shrinkToFit="0" vertical="center" wrapText="1"/>
    </xf>
    <xf borderId="1" fillId="2" fontId="10" numFmtId="0" xfId="0" applyAlignment="1" applyBorder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center"/>
    </xf>
    <xf borderId="0" fillId="0" fontId="13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0" fillId="0" fontId="12" numFmtId="164" xfId="0" applyAlignment="1" applyFont="1" applyNumberFormat="1">
      <alignment horizontal="right" readingOrder="0" vertical="center"/>
    </xf>
    <xf borderId="0" fillId="0" fontId="12" numFmtId="164" xfId="0" applyAlignment="1" applyFont="1" applyNumberFormat="1">
      <alignment horizontal="right" vertical="center"/>
    </xf>
    <xf borderId="0" fillId="0" fontId="12" numFmtId="165" xfId="0" applyAlignment="1" applyFont="1" applyNumberFormat="1">
      <alignment horizontal="right" vertical="center"/>
    </xf>
    <xf borderId="0" fillId="0" fontId="15" numFmtId="164" xfId="0" applyAlignment="1" applyFont="1" applyNumberFormat="1">
      <alignment horizontal="right" vertical="center"/>
    </xf>
    <xf borderId="0" fillId="0" fontId="12" numFmtId="166" xfId="0" applyAlignment="1" applyFont="1" applyNumberFormat="1">
      <alignment horizontal="right" vertical="center"/>
    </xf>
    <xf borderId="0" fillId="0" fontId="12" numFmtId="167" xfId="0" applyAlignment="1" applyFont="1" applyNumberFormat="1">
      <alignment horizontal="right" vertical="center"/>
    </xf>
    <xf borderId="0" fillId="0" fontId="12" numFmtId="9" xfId="0" applyAlignment="1" applyFont="1" applyNumberFormat="1">
      <alignment horizontal="right" vertical="center"/>
    </xf>
    <xf borderId="0" fillId="0" fontId="16" numFmtId="164" xfId="0" applyAlignment="1" applyFont="1" applyNumberFormat="1">
      <alignment horizontal="right" vertical="center"/>
    </xf>
    <xf borderId="0" fillId="0" fontId="12" numFmtId="168" xfId="0" applyAlignment="1" applyFont="1" applyNumberFormat="1">
      <alignment horizontal="right" vertical="center"/>
    </xf>
    <xf borderId="0" fillId="0" fontId="13" numFmtId="0" xfId="0" applyFont="1"/>
    <xf borderId="0" fillId="0" fontId="14" numFmtId="0" xfId="0" applyFont="1"/>
    <xf borderId="4" fillId="2" fontId="10" numFmtId="0" xfId="0" applyAlignment="1" applyBorder="1" applyFont="1">
      <alignment horizontal="left" vertical="center"/>
    </xf>
    <xf borderId="4" fillId="2" fontId="4" numFmtId="0" xfId="0" applyBorder="1" applyFont="1"/>
    <xf borderId="0" fillId="0" fontId="4" numFmtId="0" xfId="0" applyAlignment="1" applyFont="1">
      <alignment horizontal="center"/>
    </xf>
    <xf borderId="4" fillId="2" fontId="10" numFmtId="0" xfId="0" applyAlignment="1" applyBorder="1" applyFont="1">
      <alignment horizontal="center" shrinkToFit="0" vertical="center" wrapText="1"/>
    </xf>
    <xf borderId="1" fillId="6" fontId="17" numFmtId="0" xfId="0" applyAlignment="1" applyBorder="1" applyFont="1">
      <alignment horizontal="left" shrinkToFit="0" vertical="center" wrapText="1"/>
    </xf>
    <xf borderId="0" fillId="0" fontId="18" numFmtId="0" xfId="0" applyAlignment="1" applyFont="1">
      <alignment horizontal="center"/>
    </xf>
    <xf borderId="0" fillId="0" fontId="11" numFmtId="164" xfId="0" applyAlignment="1" applyFont="1" applyNumberFormat="1">
      <alignment horizontal="right" vertical="center"/>
    </xf>
    <xf borderId="4" fillId="7" fontId="5" numFmtId="0" xfId="0" applyAlignment="1" applyBorder="1" applyFont="1">
      <alignment horizontal="left" vertical="center"/>
    </xf>
    <xf borderId="4" fillId="7" fontId="5" numFmtId="164" xfId="0" applyAlignment="1" applyBorder="1" applyFont="1" applyNumberFormat="1">
      <alignment horizontal="right" vertical="center"/>
    </xf>
    <xf borderId="4" fillId="7" fontId="5" numFmtId="167" xfId="0" applyAlignment="1" applyBorder="1" applyFont="1" applyNumberFormat="1">
      <alignment horizontal="right" vertical="center"/>
    </xf>
    <xf borderId="0" fillId="0" fontId="19" numFmtId="9" xfId="0" applyAlignment="1" applyFont="1" applyNumberFormat="1">
      <alignment horizontal="center"/>
    </xf>
    <xf borderId="0" fillId="0" fontId="19" numFmtId="0" xfId="0" applyAlignment="1" applyFont="1">
      <alignment horizontal="center"/>
    </xf>
    <xf borderId="0" fillId="0" fontId="19" numFmtId="10" xfId="0" applyAlignment="1" applyFont="1" applyNumberFormat="1">
      <alignment horizontal="center"/>
    </xf>
    <xf borderId="0" fillId="0" fontId="19" numFmtId="169" xfId="0" applyAlignment="1" applyFont="1" applyNumberFormat="1">
      <alignment horizontal="center"/>
    </xf>
    <xf borderId="0" fillId="0" fontId="20" numFmtId="168" xfId="0" applyAlignment="1" applyFont="1" applyNumberFormat="1">
      <alignment horizontal="center"/>
    </xf>
    <xf borderId="4" fillId="2" fontId="21" numFmtId="0" xfId="0" applyBorder="1" applyFont="1"/>
    <xf borderId="4" fillId="2" fontId="21" numFmtId="164" xfId="0" applyAlignment="1" applyBorder="1" applyFont="1" applyNumberFormat="1">
      <alignment horizontal="right" vertical="center"/>
    </xf>
    <xf borderId="4" fillId="2" fontId="21" numFmtId="167" xfId="0" applyAlignment="1" applyBorder="1" applyFont="1" applyNumberFormat="1">
      <alignment horizontal="right" vertical="center"/>
    </xf>
    <xf borderId="0" fillId="0" fontId="5" numFmtId="0" xfId="0" applyAlignment="1" applyFont="1">
      <alignment horizontal="left" vertical="center"/>
    </xf>
    <xf borderId="0" fillId="0" fontId="5" numFmtId="164" xfId="0" applyAlignment="1" applyFont="1" applyNumberFormat="1">
      <alignment horizontal="right" vertical="center"/>
    </xf>
    <xf borderId="0" fillId="0" fontId="4" numFmtId="164" xfId="0" applyFont="1" applyNumberFormat="1"/>
    <xf borderId="4" fillId="2" fontId="21" numFmtId="9" xfId="0" applyAlignment="1" applyBorder="1" applyFont="1" applyNumberFormat="1">
      <alignment horizontal="right" vertical="center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3" xfId="0" applyAlignment="1" applyFont="1" applyNumberFormat="1">
      <alignment horizontal="center" vertical="center"/>
    </xf>
    <xf borderId="0" fillId="0" fontId="4" numFmtId="0" xfId="0" applyFont="1"/>
    <xf borderId="0" fillId="0" fontId="14" numFmtId="0" xfId="0" applyAlignment="1" applyFont="1">
      <alignment horizontal="left" shrinkToFit="0" vertical="center" wrapText="1"/>
    </xf>
    <xf borderId="0" fillId="0" fontId="16" numFmtId="167" xfId="0" applyAlignment="1" applyFont="1" applyNumberFormat="1">
      <alignment horizontal="right" vertical="center"/>
    </xf>
    <xf borderId="0" fillId="0" fontId="11" numFmtId="167" xfId="0" applyAlignment="1" applyFont="1" applyNumberFormat="1">
      <alignment horizontal="right" vertical="center"/>
    </xf>
    <xf borderId="0" fillId="0" fontId="11" numFmtId="164" xfId="0" applyAlignment="1" applyFont="1" applyNumberFormat="1">
      <alignment horizontal="right"/>
    </xf>
    <xf borderId="0" fillId="0" fontId="16" numFmtId="168" xfId="0" applyAlignment="1" applyFont="1" applyNumberFormat="1">
      <alignment horizontal="right" vertical="center"/>
    </xf>
    <xf borderId="0" fillId="0" fontId="22" numFmtId="0" xfId="0" applyAlignment="1" applyFont="1">
      <alignment horizontal="left" vertical="center"/>
    </xf>
    <xf borderId="0" fillId="0" fontId="11" numFmtId="168" xfId="0" applyAlignment="1" applyFont="1" applyNumberFormat="1">
      <alignment horizontal="right" vertical="center"/>
    </xf>
    <xf borderId="4" fillId="8" fontId="4" numFmtId="0" xfId="0" applyBorder="1" applyFill="1" applyFont="1"/>
    <xf borderId="4" fillId="9" fontId="4" numFmtId="0" xfId="0" applyBorder="1" applyFill="1" applyFont="1"/>
    <xf borderId="4" fillId="10" fontId="4" numFmtId="0" xfId="0" applyBorder="1" applyFill="1" applyFont="1"/>
    <xf borderId="0" fillId="0" fontId="12" numFmtId="165" xfId="0" applyAlignment="1" applyFont="1" applyNumberFormat="1">
      <alignment horizontal="left" vertical="center"/>
    </xf>
    <xf borderId="0" fillId="0" fontId="12" numFmtId="0" xfId="0" applyAlignment="1" applyFont="1">
      <alignment horizontal="lef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Construction Comps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6" displayName="Table_1" name="Table_1" id="1">
  <tableColumns count="7">
    <tableColumn name="Hotel / Project" id="1"/>
    <tableColumn name="Location" id="2"/>
    <tableColumn name="Total Cost" id="3"/>
    <tableColumn name="Number of Rooms" id="4"/>
    <tableColumn name="Cost per Key" id="5"/>
    <tableColumn name="Category" id="6"/>
    <tableColumn name="Comments / Source" id="7"/>
  </tableColumns>
  <tableStyleInfo name="Construction Comp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3864"/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11" width="18.0"/>
    <col customWidth="1" min="12" max="26" width="8.71"/>
  </cols>
  <sheetData>
    <row r="2" ht="54.7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ht="27.75" customHeight="1">
      <c r="B3" s="4" t="s">
        <v>1</v>
      </c>
      <c r="C3" s="2"/>
      <c r="D3" s="2"/>
      <c r="E3" s="2"/>
      <c r="F3" s="2"/>
      <c r="G3" s="2"/>
      <c r="H3" s="2"/>
      <c r="I3" s="2"/>
      <c r="J3" s="2"/>
      <c r="K3" s="3"/>
    </row>
    <row r="4" ht="7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6" ht="18.0" customHeight="1">
      <c r="B6" s="6" t="s">
        <v>2</v>
      </c>
      <c r="C6" s="2"/>
      <c r="D6" s="3"/>
      <c r="E6" s="7" t="s">
        <v>3</v>
      </c>
      <c r="F6" s="2"/>
      <c r="G6" s="2"/>
      <c r="H6" s="2"/>
      <c r="I6" s="2"/>
      <c r="J6" s="3"/>
    </row>
    <row r="7" ht="18.0" customHeight="1">
      <c r="B7" s="6" t="s">
        <v>4</v>
      </c>
      <c r="C7" s="2"/>
      <c r="D7" s="3"/>
      <c r="E7" s="7" t="s">
        <v>5</v>
      </c>
      <c r="F7" s="2"/>
      <c r="G7" s="2"/>
      <c r="H7" s="2"/>
      <c r="I7" s="2"/>
      <c r="J7" s="3"/>
    </row>
    <row r="8" ht="18.0" customHeight="1">
      <c r="B8" s="6" t="s">
        <v>6</v>
      </c>
      <c r="C8" s="2"/>
      <c r="D8" s="3"/>
      <c r="E8" s="7" t="s">
        <v>7</v>
      </c>
      <c r="F8" s="2"/>
      <c r="G8" s="2"/>
      <c r="H8" s="2"/>
      <c r="I8" s="2"/>
      <c r="J8" s="3"/>
    </row>
    <row r="9" ht="18.0" customHeight="1">
      <c r="B9" s="6" t="s">
        <v>8</v>
      </c>
      <c r="C9" s="2"/>
      <c r="D9" s="3"/>
      <c r="E9" s="7" t="s">
        <v>9</v>
      </c>
      <c r="F9" s="2"/>
      <c r="G9" s="2"/>
      <c r="H9" s="2"/>
      <c r="I9" s="2"/>
      <c r="J9" s="3"/>
    </row>
    <row r="10" ht="18.0" customHeight="1">
      <c r="B10" s="6" t="s">
        <v>10</v>
      </c>
      <c r="C10" s="2"/>
      <c r="D10" s="3"/>
      <c r="E10" s="7" t="s">
        <v>11</v>
      </c>
      <c r="F10" s="2"/>
      <c r="G10" s="2"/>
      <c r="H10" s="2"/>
      <c r="I10" s="2"/>
      <c r="J10" s="3"/>
    </row>
    <row r="11" ht="18.0" customHeight="1">
      <c r="B11" s="6" t="s">
        <v>12</v>
      </c>
      <c r="C11" s="2"/>
      <c r="D11" s="3"/>
      <c r="E11" s="8" t="s">
        <v>13</v>
      </c>
    </row>
    <row r="12" ht="18.0" customHeight="1">
      <c r="B12" s="6" t="s">
        <v>14</v>
      </c>
      <c r="C12" s="2"/>
      <c r="D12" s="3"/>
      <c r="E12" s="9" t="s">
        <v>15</v>
      </c>
    </row>
    <row r="13" ht="18.0" customHeight="1">
      <c r="B13" s="6" t="s">
        <v>16</v>
      </c>
      <c r="C13" s="2"/>
      <c r="D13" s="3"/>
      <c r="E13" s="8" t="s">
        <v>17</v>
      </c>
    </row>
    <row r="14" ht="18.0" customHeight="1">
      <c r="B14" s="6" t="s">
        <v>18</v>
      </c>
      <c r="C14" s="2"/>
      <c r="D14" s="3"/>
      <c r="E14" s="8" t="s">
        <v>19</v>
      </c>
    </row>
    <row r="15" ht="18.0" customHeight="1">
      <c r="B15" s="6" t="s">
        <v>20</v>
      </c>
      <c r="C15" s="2"/>
      <c r="D15" s="3"/>
      <c r="E15" s="8" t="s">
        <v>21</v>
      </c>
    </row>
    <row r="16" ht="18.0" customHeight="1">
      <c r="B16" s="6" t="s">
        <v>22</v>
      </c>
      <c r="C16" s="2"/>
      <c r="D16" s="3"/>
      <c r="E16" s="8" t="s">
        <v>23</v>
      </c>
    </row>
    <row r="17" ht="18.0" customHeight="1">
      <c r="B17" s="6" t="s">
        <v>24</v>
      </c>
      <c r="C17" s="2"/>
      <c r="D17" s="3"/>
      <c r="E17" s="8" t="s">
        <v>25</v>
      </c>
    </row>
    <row r="18" ht="7.5" customHeight="1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ht="15.0" customHeight="1">
      <c r="B19" s="10" t="s">
        <v>26</v>
      </c>
    </row>
    <row r="21" ht="60.0" customHeight="1">
      <c r="B21" s="11" t="s">
        <v>27</v>
      </c>
      <c r="C21" s="2"/>
      <c r="D21" s="2"/>
      <c r="E21" s="2"/>
      <c r="F21" s="2"/>
      <c r="G21" s="2"/>
      <c r="H21" s="2"/>
      <c r="I21" s="2"/>
      <c r="J21" s="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B2:K2"/>
    <mergeCell ref="B3:K3"/>
    <mergeCell ref="B6:D6"/>
    <mergeCell ref="E6:J6"/>
    <mergeCell ref="B7:D7"/>
    <mergeCell ref="E7:J7"/>
    <mergeCell ref="E8:J8"/>
    <mergeCell ref="B15:D15"/>
    <mergeCell ref="B16:D16"/>
    <mergeCell ref="B17:D17"/>
    <mergeCell ref="B8:D8"/>
    <mergeCell ref="B9:D9"/>
    <mergeCell ref="B10:D10"/>
    <mergeCell ref="B11:D11"/>
    <mergeCell ref="B12:D12"/>
    <mergeCell ref="B13:D13"/>
    <mergeCell ref="B14:D14"/>
    <mergeCell ref="E16:J16"/>
    <mergeCell ref="E17:J17"/>
    <mergeCell ref="B19:J19"/>
    <mergeCell ref="B21:J21"/>
    <mergeCell ref="E9:J9"/>
    <mergeCell ref="E10:J10"/>
    <mergeCell ref="E11:J11"/>
    <mergeCell ref="E12:J12"/>
    <mergeCell ref="E13:J13"/>
    <mergeCell ref="E14:J14"/>
    <mergeCell ref="E15:J15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7676"/>
    <pageSetUpPr/>
  </sheetPr>
  <sheetViews>
    <sheetView showGridLines="0" workbookViewId="0"/>
  </sheetViews>
  <sheetFormatPr customHeight="1" defaultColWidth="14.43" defaultRowHeight="15.0"/>
  <cols>
    <col customWidth="1" min="1" max="1" width="42.0"/>
    <col customWidth="1" min="2" max="2" width="18.0"/>
    <col customWidth="1" min="3" max="3" width="10.0"/>
    <col customWidth="1" min="4" max="4" width="35.0"/>
    <col customWidth="1" min="5" max="26" width="8.71"/>
  </cols>
  <sheetData>
    <row r="1" ht="24.0" customHeight="1">
      <c r="A1" s="12" t="s">
        <v>28</v>
      </c>
      <c r="B1" s="2"/>
      <c r="C1" s="2"/>
      <c r="D1" s="3"/>
    </row>
    <row r="2" ht="19.5" customHeight="1">
      <c r="A2" s="13" t="s">
        <v>29</v>
      </c>
      <c r="B2" s="13" t="s">
        <v>30</v>
      </c>
      <c r="C2" s="13" t="s">
        <v>31</v>
      </c>
      <c r="D2" s="13" t="s">
        <v>32</v>
      </c>
    </row>
    <row r="3" ht="18.0" customHeight="1">
      <c r="A3" s="14" t="s">
        <v>33</v>
      </c>
      <c r="B3" s="2"/>
      <c r="C3" s="2"/>
      <c r="D3" s="3"/>
    </row>
    <row r="4" ht="15.75" customHeight="1">
      <c r="A4" s="15" t="s">
        <v>8</v>
      </c>
      <c r="B4" s="16">
        <v>80.0</v>
      </c>
      <c r="C4" s="17" t="s">
        <v>34</v>
      </c>
      <c r="D4" s="18" t="s">
        <v>35</v>
      </c>
    </row>
    <row r="5" ht="15.75" customHeight="1">
      <c r="A5" s="15" t="s">
        <v>36</v>
      </c>
      <c r="B5" s="19">
        <v>20700.0</v>
      </c>
      <c r="C5" s="17" t="s">
        <v>37</v>
      </c>
      <c r="D5" s="18"/>
    </row>
    <row r="6" ht="15.75" customHeight="1">
      <c r="A6" s="15" t="s">
        <v>6</v>
      </c>
      <c r="B6" s="20">
        <v>33645.0</v>
      </c>
      <c r="C6" s="17" t="s">
        <v>37</v>
      </c>
      <c r="D6" s="18"/>
    </row>
    <row r="7" ht="15.75" customHeight="1">
      <c r="A7" s="15" t="s">
        <v>12</v>
      </c>
      <c r="B7" s="16" t="str">
        <f>Cover!E11</f>
        <v>1st October 2026</v>
      </c>
      <c r="C7" s="17"/>
      <c r="D7" s="18"/>
    </row>
    <row r="8" ht="15.75" customHeight="1">
      <c r="A8" s="15" t="s">
        <v>38</v>
      </c>
      <c r="B8" s="16" t="s">
        <v>39</v>
      </c>
      <c r="C8" s="17"/>
      <c r="D8" s="18"/>
    </row>
    <row r="9" ht="15.75" customHeight="1">
      <c r="A9" s="15" t="s">
        <v>40</v>
      </c>
      <c r="B9" s="21">
        <f>Timeline!B38</f>
        <v>50556</v>
      </c>
      <c r="C9" s="17"/>
      <c r="D9" s="18" t="s">
        <v>41</v>
      </c>
    </row>
    <row r="10" ht="18.0" customHeight="1">
      <c r="A10" s="14" t="s">
        <v>42</v>
      </c>
      <c r="B10" s="2"/>
      <c r="C10" s="2"/>
      <c r="D10" s="3"/>
    </row>
    <row r="11" ht="15.75" customHeight="1">
      <c r="A11" s="15" t="s">
        <v>43</v>
      </c>
      <c r="B11" s="20">
        <f>'Dev Costs'!B60</f>
        <v>88357818.56</v>
      </c>
      <c r="C11" s="17" t="s">
        <v>44</v>
      </c>
      <c r="D11" s="18"/>
    </row>
    <row r="12" ht="15.75" customHeight="1">
      <c r="A12" s="15" t="s">
        <v>45</v>
      </c>
      <c r="B12" s="20">
        <f>'Dev Costs'!B60-'Dev Costs'!B52</f>
        <v>80696262.56</v>
      </c>
      <c r="C12" s="17" t="s">
        <v>44</v>
      </c>
      <c r="D12" s="18"/>
    </row>
    <row r="13" ht="15.75" customHeight="1">
      <c r="A13" s="15" t="s">
        <v>46</v>
      </c>
      <c r="B13" s="22">
        <f>'P&amp;L (10yr)'!E57*1000</f>
        <v>20233000</v>
      </c>
      <c r="C13" s="17" t="s">
        <v>44</v>
      </c>
      <c r="D13" s="18"/>
    </row>
    <row r="14" ht="15.75" customHeight="1">
      <c r="A14" s="15" t="s">
        <v>47</v>
      </c>
      <c r="B14" s="23">
        <v>12.5</v>
      </c>
      <c r="C14" s="17" t="s">
        <v>48</v>
      </c>
      <c r="D14" s="18" t="s">
        <v>49</v>
      </c>
    </row>
    <row r="15" ht="15.75" customHeight="1">
      <c r="A15" s="15" t="s">
        <v>50</v>
      </c>
      <c r="B15" s="22">
        <f>B13*B14</f>
        <v>252912500</v>
      </c>
      <c r="C15" s="17" t="s">
        <v>44</v>
      </c>
      <c r="D15" s="18"/>
    </row>
    <row r="16" ht="15.75" hidden="1" customHeight="1">
      <c r="A16" s="15" t="s">
        <v>51</v>
      </c>
      <c r="B16" s="16">
        <v>30.0</v>
      </c>
      <c r="C16" s="17" t="s">
        <v>52</v>
      </c>
      <c r="D16" s="18"/>
    </row>
    <row r="17" ht="15.75" customHeight="1">
      <c r="A17" s="15" t="s">
        <v>53</v>
      </c>
      <c r="B17" s="24">
        <v>0.26</v>
      </c>
      <c r="C17" s="17" t="s">
        <v>54</v>
      </c>
      <c r="D17" s="18" t="s">
        <v>55</v>
      </c>
    </row>
    <row r="18" ht="18.0" customHeight="1">
      <c r="A18" s="14" t="s">
        <v>56</v>
      </c>
      <c r="B18" s="2"/>
      <c r="C18" s="2"/>
      <c r="D18" s="3"/>
    </row>
    <row r="19" ht="15.75" customHeight="1">
      <c r="A19" s="15" t="s">
        <v>57</v>
      </c>
      <c r="B19" s="20">
        <v>9000000.0</v>
      </c>
      <c r="C19" s="17" t="s">
        <v>44</v>
      </c>
      <c r="D19" s="18" t="s">
        <v>58</v>
      </c>
    </row>
    <row r="20" ht="15.75" customHeight="1">
      <c r="A20" s="15" t="s">
        <v>59</v>
      </c>
      <c r="B20" s="24">
        <v>0.18</v>
      </c>
      <c r="C20" s="17" t="s">
        <v>60</v>
      </c>
      <c r="D20" s="18" t="s">
        <v>61</v>
      </c>
    </row>
    <row r="21" ht="15.75" customHeight="1">
      <c r="A21" s="15" t="s">
        <v>62</v>
      </c>
      <c r="B21" s="24">
        <v>0.03</v>
      </c>
      <c r="C21" s="17" t="s">
        <v>54</v>
      </c>
      <c r="D21" s="18" t="s">
        <v>63</v>
      </c>
    </row>
    <row r="22" ht="15.75" customHeight="1">
      <c r="A22" s="15" t="s">
        <v>64</v>
      </c>
      <c r="B22" s="20">
        <v>6.0E7</v>
      </c>
      <c r="C22" s="17" t="s">
        <v>44</v>
      </c>
      <c r="D22" s="18" t="s">
        <v>65</v>
      </c>
    </row>
    <row r="23" ht="15.75" customHeight="1">
      <c r="A23" s="15" t="s">
        <v>66</v>
      </c>
      <c r="B23" s="25">
        <v>0.06</v>
      </c>
      <c r="C23" s="17" t="s">
        <v>60</v>
      </c>
      <c r="D23" s="18" t="s">
        <v>67</v>
      </c>
    </row>
    <row r="24" ht="15.75" customHeight="1">
      <c r="A24" s="15" t="s">
        <v>68</v>
      </c>
      <c r="B24" s="24">
        <v>0.8</v>
      </c>
      <c r="C24" s="17" t="s">
        <v>54</v>
      </c>
      <c r="D24" s="18" t="s">
        <v>69</v>
      </c>
    </row>
    <row r="25" ht="18.0" customHeight="1">
      <c r="A25" s="14" t="s">
        <v>70</v>
      </c>
      <c r="B25" s="2"/>
      <c r="C25" s="2"/>
      <c r="D25" s="3"/>
    </row>
    <row r="26" ht="15.75" customHeight="1">
      <c r="A26" s="15" t="s">
        <v>71</v>
      </c>
      <c r="B26" s="26">
        <f>B11</f>
        <v>88357818.56</v>
      </c>
      <c r="C26" s="17" t="s">
        <v>44</v>
      </c>
      <c r="D26" s="18"/>
    </row>
    <row r="27" ht="15.75" customHeight="1">
      <c r="A27" s="15" t="s">
        <v>72</v>
      </c>
      <c r="B27" s="25">
        <v>0.3</v>
      </c>
      <c r="C27" s="17"/>
      <c r="D27" s="18"/>
    </row>
    <row r="28" ht="15.75" customHeight="1">
      <c r="A28" s="15" t="s">
        <v>73</v>
      </c>
      <c r="B28" s="26">
        <f>B26*B27</f>
        <v>26507345.57</v>
      </c>
      <c r="C28" s="17" t="s">
        <v>44</v>
      </c>
      <c r="D28" s="18"/>
    </row>
    <row r="29" ht="15.75" customHeight="1">
      <c r="A29" s="15" t="s">
        <v>74</v>
      </c>
      <c r="B29" s="25">
        <v>0.7</v>
      </c>
      <c r="C29" s="17"/>
      <c r="D29" s="18"/>
    </row>
    <row r="30" ht="15.75" customHeight="1">
      <c r="A30" s="15" t="s">
        <v>75</v>
      </c>
      <c r="B30" s="26">
        <f>B26*B29</f>
        <v>61850472.99</v>
      </c>
      <c r="C30" s="17" t="s">
        <v>44</v>
      </c>
      <c r="D30" s="18"/>
    </row>
    <row r="31" ht="15.75" customHeight="1">
      <c r="A31" s="15" t="s">
        <v>76</v>
      </c>
      <c r="B31" s="24">
        <v>0.055</v>
      </c>
      <c r="C31" s="17" t="s">
        <v>60</v>
      </c>
      <c r="D31" s="18"/>
    </row>
    <row r="32" ht="15.75" customHeight="1">
      <c r="A32" s="15" t="s">
        <v>77</v>
      </c>
      <c r="B32" s="16">
        <v>10.0</v>
      </c>
      <c r="C32" s="17" t="s">
        <v>52</v>
      </c>
      <c r="D32" s="18"/>
    </row>
    <row r="33" ht="15.75" customHeight="1">
      <c r="A33" s="15" t="s">
        <v>78</v>
      </c>
      <c r="B33" s="24">
        <v>0.08</v>
      </c>
      <c r="C33" s="17" t="s">
        <v>60</v>
      </c>
      <c r="D33" s="18"/>
    </row>
    <row r="34" ht="18.0" customHeight="1">
      <c r="A34" s="14" t="s">
        <v>79</v>
      </c>
      <c r="B34" s="2"/>
      <c r="C34" s="2"/>
      <c r="D34" s="3"/>
    </row>
    <row r="35" ht="15.75" customHeight="1">
      <c r="A35" s="15" t="s">
        <v>80</v>
      </c>
      <c r="B35" s="24">
        <v>0.45</v>
      </c>
      <c r="C35" s="17"/>
      <c r="D35" s="18"/>
    </row>
    <row r="36" ht="15.75" customHeight="1">
      <c r="A36" s="15" t="s">
        <v>81</v>
      </c>
      <c r="B36" s="24">
        <v>0.575</v>
      </c>
      <c r="C36" s="17"/>
      <c r="D36" s="18"/>
    </row>
    <row r="37" ht="15.75" customHeight="1">
      <c r="A37" s="15" t="s">
        <v>82</v>
      </c>
      <c r="B37" s="24">
        <v>0.65</v>
      </c>
      <c r="C37" s="17"/>
      <c r="D37" s="18"/>
    </row>
    <row r="38" ht="15.75" customHeight="1">
      <c r="A38" s="15" t="s">
        <v>83</v>
      </c>
      <c r="B38" s="24">
        <v>0.7</v>
      </c>
      <c r="C38" s="17"/>
      <c r="D38" s="18"/>
    </row>
    <row r="39" ht="15.75" customHeight="1">
      <c r="A39" s="15" t="s">
        <v>84</v>
      </c>
      <c r="B39" s="20">
        <v>2531.0</v>
      </c>
      <c r="C39" s="17" t="s">
        <v>85</v>
      </c>
      <c r="D39" s="18"/>
    </row>
    <row r="40" ht="15.75" customHeight="1">
      <c r="A40" s="15" t="s">
        <v>86</v>
      </c>
      <c r="B40" s="24">
        <v>0.05</v>
      </c>
      <c r="C40" s="17" t="s">
        <v>60</v>
      </c>
      <c r="D40" s="18"/>
    </row>
    <row r="41" ht="15.75" customHeight="1">
      <c r="A41" s="15" t="s">
        <v>87</v>
      </c>
      <c r="B41" s="24">
        <v>0.04</v>
      </c>
      <c r="C41" s="17" t="s">
        <v>60</v>
      </c>
      <c r="D41" s="18"/>
    </row>
    <row r="42" ht="15.75" customHeight="1">
      <c r="A42" s="15" t="s">
        <v>88</v>
      </c>
      <c r="B42" s="24">
        <v>0.03</v>
      </c>
      <c r="C42" s="17" t="s">
        <v>60</v>
      </c>
      <c r="D42" s="18"/>
    </row>
    <row r="43" ht="15.75" customHeight="1">
      <c r="A43" s="15" t="s">
        <v>89</v>
      </c>
      <c r="B43" s="27">
        <v>0.7</v>
      </c>
      <c r="C43" s="28"/>
      <c r="D43" s="29"/>
    </row>
    <row r="44" ht="18.0" hidden="1" customHeight="1">
      <c r="A44" s="30" t="s">
        <v>90</v>
      </c>
      <c r="B44" s="31"/>
      <c r="C44" s="31"/>
      <c r="D44" s="31"/>
    </row>
    <row r="45" ht="15.75" hidden="1" customHeight="1">
      <c r="A45" s="15" t="s">
        <v>91</v>
      </c>
      <c r="B45" s="24">
        <v>0.101</v>
      </c>
      <c r="C45" s="28" t="s">
        <v>54</v>
      </c>
      <c r="D45" s="29" t="s">
        <v>92</v>
      </c>
    </row>
    <row r="46" ht="15.75" hidden="1" customHeight="1">
      <c r="A46" s="15" t="s">
        <v>93</v>
      </c>
      <c r="B46" s="24">
        <v>0.0965</v>
      </c>
      <c r="C46" s="28" t="s">
        <v>54</v>
      </c>
      <c r="D46" s="29" t="s">
        <v>94</v>
      </c>
    </row>
    <row r="47" ht="15.75" hidden="1" customHeight="1">
      <c r="A47" s="15" t="s">
        <v>95</v>
      </c>
      <c r="B47" s="24">
        <v>0.0629</v>
      </c>
      <c r="C47" s="28" t="s">
        <v>54</v>
      </c>
      <c r="D47" s="29" t="s">
        <v>96</v>
      </c>
    </row>
    <row r="48" ht="15.75" hidden="1" customHeight="1">
      <c r="A48" s="15" t="s">
        <v>97</v>
      </c>
      <c r="B48" s="24">
        <v>0.0561</v>
      </c>
      <c r="C48" s="28" t="s">
        <v>54</v>
      </c>
      <c r="D48" s="29" t="s">
        <v>98</v>
      </c>
    </row>
    <row r="49" ht="15.75" hidden="1" customHeight="1">
      <c r="A49" s="15" t="s">
        <v>99</v>
      </c>
      <c r="B49" s="24">
        <v>0.0275</v>
      </c>
      <c r="C49" s="28" t="s">
        <v>54</v>
      </c>
      <c r="D49" s="29" t="s">
        <v>100</v>
      </c>
    </row>
    <row r="50" ht="15.75" hidden="1" customHeight="1">
      <c r="A50" s="15" t="s">
        <v>101</v>
      </c>
      <c r="B50" s="24">
        <v>0.0217</v>
      </c>
      <c r="C50" s="28" t="s">
        <v>54</v>
      </c>
      <c r="D50" s="29" t="s">
        <v>102</v>
      </c>
    </row>
    <row r="51" ht="15.75" hidden="1" customHeight="1">
      <c r="A51" s="15" t="s">
        <v>103</v>
      </c>
      <c r="B51" s="24">
        <v>0.376</v>
      </c>
      <c r="C51" s="28" t="s">
        <v>54</v>
      </c>
      <c r="D51" s="29" t="s">
        <v>104</v>
      </c>
    </row>
    <row r="52" ht="15.75" hidden="1" customHeight="1">
      <c r="A52" s="15" t="s">
        <v>105</v>
      </c>
      <c r="B52" s="24">
        <v>0.216</v>
      </c>
      <c r="C52" s="28" t="s">
        <v>54</v>
      </c>
      <c r="D52" s="29" t="s">
        <v>106</v>
      </c>
    </row>
    <row r="53" ht="15.75" hidden="1" customHeight="1">
      <c r="A53" s="15" t="s">
        <v>107</v>
      </c>
      <c r="B53" s="24">
        <v>0.14</v>
      </c>
      <c r="C53" s="28" t="s">
        <v>54</v>
      </c>
      <c r="D53" s="29" t="s">
        <v>108</v>
      </c>
    </row>
    <row r="54" ht="15.75" hidden="1" customHeight="1">
      <c r="A54" s="15" t="s">
        <v>109</v>
      </c>
      <c r="B54" s="24">
        <v>0.1</v>
      </c>
      <c r="C54" s="28" t="s">
        <v>54</v>
      </c>
      <c r="D54" s="29" t="s">
        <v>110</v>
      </c>
    </row>
    <row r="55" ht="15.75" hidden="1" customHeight="1">
      <c r="A55" s="15" t="s">
        <v>111</v>
      </c>
      <c r="B55" s="24">
        <v>0.02</v>
      </c>
      <c r="C55" s="28" t="s">
        <v>54</v>
      </c>
      <c r="D55" s="29" t="s">
        <v>112</v>
      </c>
    </row>
    <row r="56" ht="15.75" hidden="1" customHeight="1">
      <c r="A56" s="15" t="s">
        <v>113</v>
      </c>
      <c r="B56" s="24">
        <v>0.04</v>
      </c>
      <c r="C56" s="28" t="s">
        <v>54</v>
      </c>
      <c r="D56" s="29" t="s">
        <v>114</v>
      </c>
    </row>
    <row r="57" ht="15.75" hidden="1" customHeight="1">
      <c r="A57" s="15" t="s">
        <v>115</v>
      </c>
      <c r="B57" s="24">
        <v>0.046</v>
      </c>
      <c r="C57" s="28" t="s">
        <v>54</v>
      </c>
      <c r="D57" s="29" t="s">
        <v>116</v>
      </c>
    </row>
    <row r="58" ht="15.75" hidden="1" customHeight="1">
      <c r="A58" s="15" t="s">
        <v>117</v>
      </c>
      <c r="B58" s="24">
        <v>0.04</v>
      </c>
      <c r="C58" s="28" t="s">
        <v>54</v>
      </c>
      <c r="D58" s="29" t="s">
        <v>118</v>
      </c>
    </row>
    <row r="59" ht="15.75" hidden="1" customHeight="1">
      <c r="A59" s="15" t="s">
        <v>119</v>
      </c>
      <c r="B59" s="24">
        <v>0.01</v>
      </c>
      <c r="C59" s="28" t="s">
        <v>54</v>
      </c>
      <c r="D59" s="29" t="s">
        <v>120</v>
      </c>
    </row>
    <row r="60" ht="15.75" hidden="1" customHeight="1">
      <c r="A60" s="15" t="s">
        <v>121</v>
      </c>
      <c r="B60" s="24">
        <v>0.04</v>
      </c>
      <c r="C60" s="28" t="s">
        <v>54</v>
      </c>
      <c r="D60" s="29" t="s">
        <v>122</v>
      </c>
    </row>
    <row r="61" ht="15.75" hidden="1" customHeight="1">
      <c r="A61" s="15" t="s">
        <v>123</v>
      </c>
      <c r="B61" s="16">
        <v>221.0</v>
      </c>
      <c r="C61" s="28" t="s">
        <v>124</v>
      </c>
      <c r="D61" s="29" t="s">
        <v>125</v>
      </c>
    </row>
    <row r="62" ht="15.75" hidden="1" customHeight="1">
      <c r="A62" s="15" t="s">
        <v>126</v>
      </c>
      <c r="B62" s="16">
        <v>966.0</v>
      </c>
      <c r="C62" s="28" t="s">
        <v>124</v>
      </c>
      <c r="D62" s="29" t="s">
        <v>127</v>
      </c>
    </row>
    <row r="63" ht="15.75" hidden="1" customHeight="1">
      <c r="A63" s="15" t="s">
        <v>128</v>
      </c>
      <c r="B63" s="16">
        <v>140.0</v>
      </c>
      <c r="C63" s="28" t="s">
        <v>124</v>
      </c>
      <c r="D63" s="29" t="s">
        <v>129</v>
      </c>
    </row>
    <row r="64" ht="15.75" hidden="1" customHeight="1">
      <c r="A64" s="15" t="s">
        <v>130</v>
      </c>
      <c r="B64" s="27">
        <v>0.12</v>
      </c>
      <c r="C64" s="28" t="s">
        <v>54</v>
      </c>
      <c r="D64" s="29" t="s">
        <v>131</v>
      </c>
    </row>
    <row r="65" ht="15.75" hidden="1" customHeight="1">
      <c r="A65" s="15" t="s">
        <v>132</v>
      </c>
      <c r="B65" s="27">
        <v>0.11</v>
      </c>
      <c r="C65" s="28" t="s">
        <v>54</v>
      </c>
      <c r="D65" s="29" t="s">
        <v>133</v>
      </c>
    </row>
    <row r="66" ht="15.75" hidden="1" customHeight="1">
      <c r="A66" s="15" t="s">
        <v>134</v>
      </c>
      <c r="B66" s="27">
        <v>0.0441</v>
      </c>
      <c r="C66" s="28" t="s">
        <v>54</v>
      </c>
      <c r="D66" s="29" t="s">
        <v>135</v>
      </c>
    </row>
    <row r="67" ht="15.75" hidden="1" customHeight="1">
      <c r="A67" s="15" t="s">
        <v>136</v>
      </c>
      <c r="B67" s="27">
        <v>0.042</v>
      </c>
      <c r="C67" s="28" t="s">
        <v>54</v>
      </c>
      <c r="D67" s="29" t="s">
        <v>137</v>
      </c>
    </row>
    <row r="68" ht="15.75" hidden="1" customHeight="1">
      <c r="A68" s="15" t="s">
        <v>138</v>
      </c>
      <c r="B68" s="27">
        <v>0.02</v>
      </c>
      <c r="C68" s="28" t="s">
        <v>54</v>
      </c>
      <c r="D68" s="29" t="s">
        <v>139</v>
      </c>
    </row>
    <row r="69" ht="15.75" hidden="1" customHeight="1">
      <c r="A69" s="15" t="s">
        <v>140</v>
      </c>
      <c r="B69" s="27">
        <v>0.03</v>
      </c>
      <c r="C69" s="28" t="s">
        <v>54</v>
      </c>
      <c r="D69" s="29" t="s">
        <v>141</v>
      </c>
    </row>
    <row r="70" ht="15.75" hidden="1" customHeight="1">
      <c r="A70" s="15" t="s">
        <v>142</v>
      </c>
      <c r="B70" s="27">
        <v>0.1697</v>
      </c>
      <c r="C70" s="28" t="s">
        <v>54</v>
      </c>
      <c r="D70" s="29" t="s">
        <v>143</v>
      </c>
    </row>
    <row r="71" ht="15.75" hidden="1" customHeight="1">
      <c r="A71" s="15" t="s">
        <v>144</v>
      </c>
      <c r="B71" s="27">
        <v>0.0322</v>
      </c>
      <c r="C71" s="28" t="s">
        <v>54</v>
      </c>
      <c r="D71" s="29" t="s">
        <v>145</v>
      </c>
    </row>
    <row r="72" ht="15.75" hidden="1" customHeight="1">
      <c r="A72" s="15" t="s">
        <v>146</v>
      </c>
      <c r="B72" s="27">
        <v>0.005</v>
      </c>
      <c r="C72" s="28" t="s">
        <v>54</v>
      </c>
      <c r="D72" s="29" t="s">
        <v>147</v>
      </c>
    </row>
    <row r="73" ht="15.75" hidden="1" customHeight="1">
      <c r="A73" s="15" t="s">
        <v>148</v>
      </c>
      <c r="B73" s="27">
        <v>0.03</v>
      </c>
      <c r="C73" s="28" t="s">
        <v>54</v>
      </c>
      <c r="D73" s="29" t="s">
        <v>149</v>
      </c>
    </row>
    <row r="74" ht="15.75" hidden="1" customHeight="1">
      <c r="A74" s="15" t="s">
        <v>150</v>
      </c>
      <c r="B74" s="27">
        <v>0.003</v>
      </c>
      <c r="C74" s="28" t="s">
        <v>54</v>
      </c>
      <c r="D74" s="29" t="s">
        <v>151</v>
      </c>
    </row>
    <row r="75" ht="15.75" hidden="1" customHeight="1">
      <c r="A75" s="15" t="s">
        <v>152</v>
      </c>
      <c r="B75" s="27">
        <v>0.122</v>
      </c>
      <c r="C75" s="28" t="s">
        <v>54</v>
      </c>
      <c r="D75" s="29" t="s">
        <v>153</v>
      </c>
    </row>
    <row r="76" ht="15.75" hidden="1" customHeight="1">
      <c r="A76" s="15" t="s">
        <v>154</v>
      </c>
      <c r="B76" s="27">
        <v>0.07</v>
      </c>
      <c r="C76" s="28" t="s">
        <v>54</v>
      </c>
      <c r="D76" s="29" t="s">
        <v>155</v>
      </c>
    </row>
    <row r="77" ht="15.75" hidden="1" customHeight="1">
      <c r="A77" s="15" t="s">
        <v>156</v>
      </c>
      <c r="B77" s="27">
        <v>0.15</v>
      </c>
      <c r="C77" s="28" t="s">
        <v>54</v>
      </c>
      <c r="D77" s="29" t="s">
        <v>157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A1:D1"/>
    <mergeCell ref="A3:D3"/>
    <mergeCell ref="A10:D10"/>
    <mergeCell ref="A18:D18"/>
    <mergeCell ref="A25:D25"/>
    <mergeCell ref="A34:D34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9A84C"/>
    <pageSetUpPr/>
  </sheetPr>
  <sheetViews>
    <sheetView showGridLines="0" workbookViewId="0"/>
  </sheetViews>
  <sheetFormatPr customHeight="1" defaultColWidth="14.43" defaultRowHeight="15.0"/>
  <cols>
    <col customWidth="1" min="1" max="1" width="127.71"/>
    <col customWidth="1" min="2" max="2" width="16.0"/>
    <col customWidth="1" min="3" max="3" width="12.0"/>
    <col customWidth="1" min="4" max="4" width="11.0"/>
    <col customWidth="1" min="5" max="6" width="14.0"/>
    <col customWidth="1" min="7" max="7" width="8.71"/>
    <col customWidth="1" min="8" max="8" width="65.86"/>
    <col customWidth="1" min="9" max="26" width="8.71"/>
  </cols>
  <sheetData>
    <row r="1" ht="24.0" customHeight="1">
      <c r="A1" s="12" t="s">
        <v>158</v>
      </c>
      <c r="B1" s="2"/>
      <c r="C1" s="2"/>
      <c r="D1" s="2"/>
      <c r="E1" s="2"/>
      <c r="F1" s="3"/>
      <c r="G1" s="32"/>
    </row>
    <row r="2" ht="25.5" customHeight="1">
      <c r="A2" s="33" t="s">
        <v>159</v>
      </c>
      <c r="B2" s="33" t="s">
        <v>160</v>
      </c>
      <c r="C2" s="33" t="s">
        <v>161</v>
      </c>
      <c r="D2" s="33" t="s">
        <v>162</v>
      </c>
      <c r="E2" s="33" t="s">
        <v>163</v>
      </c>
      <c r="F2" s="33" t="s">
        <v>164</v>
      </c>
      <c r="G2" s="32"/>
    </row>
    <row r="3" ht="39.75" customHeight="1">
      <c r="A3" s="34" t="s">
        <v>165</v>
      </c>
      <c r="B3" s="2"/>
      <c r="C3" s="2"/>
      <c r="D3" s="2"/>
      <c r="E3" s="2"/>
      <c r="F3" s="3"/>
      <c r="G3" s="32"/>
    </row>
    <row r="4" ht="18.0" customHeight="1">
      <c r="A4" s="14" t="s">
        <v>166</v>
      </c>
      <c r="B4" s="2"/>
      <c r="C4" s="2"/>
      <c r="D4" s="2"/>
      <c r="E4" s="2"/>
      <c r="F4" s="3"/>
      <c r="G4" s="32"/>
      <c r="H4" s="35" t="s">
        <v>167</v>
      </c>
    </row>
    <row r="5" ht="15.75" customHeight="1">
      <c r="A5" s="15" t="s">
        <v>168</v>
      </c>
      <c r="B5" s="20">
        <v>4130000.0</v>
      </c>
      <c r="C5" s="26">
        <f>B5/Assumptions!B5</f>
        <v>199.5169082</v>
      </c>
      <c r="E5" s="20">
        <v>4130000.0</v>
      </c>
      <c r="F5" s="36">
        <f t="shared" ref="F5:F10" si="1">B5-E5</f>
        <v>0</v>
      </c>
      <c r="G5" s="32"/>
    </row>
    <row r="6" ht="15.75" customHeight="1">
      <c r="A6" s="15" t="s">
        <v>169</v>
      </c>
      <c r="B6" s="20">
        <v>489407.0</v>
      </c>
      <c r="C6" s="26">
        <f>B6/Assumptions!B5</f>
        <v>23.64285024</v>
      </c>
      <c r="E6" s="20">
        <v>489407.0</v>
      </c>
      <c r="F6" s="36">
        <f t="shared" si="1"/>
        <v>0</v>
      </c>
      <c r="G6" s="32"/>
    </row>
    <row r="7" ht="15.75" customHeight="1">
      <c r="A7" s="15" t="s">
        <v>170</v>
      </c>
      <c r="B7" s="20">
        <v>2800000.0</v>
      </c>
      <c r="C7" s="26">
        <f>B7/Assumptions!B5</f>
        <v>135.2657005</v>
      </c>
      <c r="E7" s="20">
        <v>2800000.0</v>
      </c>
      <c r="F7" s="36">
        <f t="shared" si="1"/>
        <v>0</v>
      </c>
      <c r="G7" s="32"/>
    </row>
    <row r="8" ht="15.75" customHeight="1">
      <c r="A8" s="15" t="s">
        <v>171</v>
      </c>
      <c r="B8" s="20">
        <v>150000.0</v>
      </c>
      <c r="C8" s="26">
        <f>B8/Assumptions!B5</f>
        <v>7.246376812</v>
      </c>
      <c r="E8" s="20">
        <v>150000.0</v>
      </c>
      <c r="F8" s="36">
        <f t="shared" si="1"/>
        <v>0</v>
      </c>
      <c r="G8" s="32"/>
    </row>
    <row r="9" ht="15.75" customHeight="1">
      <c r="A9" s="15" t="s">
        <v>172</v>
      </c>
      <c r="B9" s="20">
        <v>2000000.0</v>
      </c>
      <c r="C9" s="26">
        <f>B9/Assumptions!B5</f>
        <v>96.61835749</v>
      </c>
      <c r="E9" s="20">
        <v>2000000.0</v>
      </c>
      <c r="F9" s="36">
        <f t="shared" si="1"/>
        <v>0</v>
      </c>
      <c r="G9" s="32"/>
    </row>
    <row r="10" ht="15.75" customHeight="1">
      <c r="A10" s="15" t="s">
        <v>173</v>
      </c>
      <c r="B10" s="20">
        <v>14500.0</v>
      </c>
      <c r="C10" s="26">
        <f>B10/Assumptions!B5</f>
        <v>0.7004830918</v>
      </c>
      <c r="E10" s="20">
        <v>14500.0</v>
      </c>
      <c r="F10" s="36">
        <f t="shared" si="1"/>
        <v>0</v>
      </c>
      <c r="G10" s="32"/>
    </row>
    <row r="11" ht="18.0" customHeight="1">
      <c r="A11" s="37" t="s">
        <v>174</v>
      </c>
      <c r="B11" s="38">
        <f>SUM(B5:B10)</f>
        <v>9583907</v>
      </c>
      <c r="C11" s="38">
        <f>B11/Assumptions!B5</f>
        <v>462.9906763</v>
      </c>
      <c r="D11" s="39">
        <f>B11/Assumptions!B11</f>
        <v>0.1084669943</v>
      </c>
      <c r="E11" s="38">
        <f t="shared" ref="E11:F11" si="2">SUM(E5:E10)</f>
        <v>9583907</v>
      </c>
      <c r="F11" s="38">
        <f t="shared" si="2"/>
        <v>0</v>
      </c>
      <c r="G11" s="32"/>
    </row>
    <row r="12" ht="18.0" customHeight="1">
      <c r="A12" s="14" t="s">
        <v>175</v>
      </c>
      <c r="B12" s="2"/>
      <c r="C12" s="2"/>
      <c r="D12" s="2"/>
      <c r="E12" s="2"/>
      <c r="F12" s="3"/>
      <c r="G12" s="32"/>
    </row>
    <row r="13" ht="15.75" customHeight="1">
      <c r="A13" s="15" t="s">
        <v>176</v>
      </c>
      <c r="B13" s="20">
        <v>1135850.0</v>
      </c>
      <c r="C13" s="26">
        <f>B13/Assumptions!B5</f>
        <v>54.87198068</v>
      </c>
      <c r="E13" s="20">
        <v>0.0</v>
      </c>
      <c r="F13" s="36">
        <f t="shared" ref="F13:F16" si="3">B13-E13</f>
        <v>1135850</v>
      </c>
      <c r="G13" s="32"/>
    </row>
    <row r="14" ht="15.75" customHeight="1">
      <c r="A14" s="15" t="s">
        <v>177</v>
      </c>
      <c r="B14" s="20">
        <v>377000.0</v>
      </c>
      <c r="C14" s="26">
        <f>B14/Assumptions!B5</f>
        <v>18.21256039</v>
      </c>
      <c r="E14" s="20">
        <v>377000.0</v>
      </c>
      <c r="F14" s="36">
        <f t="shared" si="3"/>
        <v>0</v>
      </c>
      <c r="G14" s="32"/>
    </row>
    <row r="15" ht="15.75" customHeight="1">
      <c r="A15" s="15" t="s">
        <v>178</v>
      </c>
      <c r="B15" s="20">
        <v>380000.0</v>
      </c>
      <c r="C15" s="26">
        <f>B15/Assumptions!B5</f>
        <v>18.35748792</v>
      </c>
      <c r="E15" s="20">
        <v>380000.0</v>
      </c>
      <c r="F15" s="36">
        <f t="shared" si="3"/>
        <v>0</v>
      </c>
      <c r="G15" s="32"/>
    </row>
    <row r="16" ht="15.75" customHeight="1">
      <c r="A16" s="15" t="s">
        <v>179</v>
      </c>
      <c r="B16" s="20">
        <v>150000.0</v>
      </c>
      <c r="C16" s="26">
        <f>B16/Assumptions!B5</f>
        <v>7.246376812</v>
      </c>
      <c r="E16" s="20">
        <v>0.0</v>
      </c>
      <c r="F16" s="36">
        <f t="shared" si="3"/>
        <v>150000</v>
      </c>
      <c r="G16" s="32"/>
    </row>
    <row r="17" ht="18.0" customHeight="1">
      <c r="A17" s="37" t="s">
        <v>180</v>
      </c>
      <c r="B17" s="38">
        <f>SUM(B13:B16)</f>
        <v>2042850</v>
      </c>
      <c r="C17" s="38">
        <f>B17/Assumptions!B5</f>
        <v>98.6884058</v>
      </c>
      <c r="D17" s="39">
        <f>B17/Assumptions!B11</f>
        <v>0.02312019506</v>
      </c>
      <c r="E17" s="38">
        <f t="shared" ref="E17:F17" si="4">SUM(E13:E16)</f>
        <v>757000</v>
      </c>
      <c r="F17" s="38">
        <f t="shared" si="4"/>
        <v>1285850</v>
      </c>
      <c r="G17" s="32"/>
    </row>
    <row r="18" ht="18.0" customHeight="1">
      <c r="A18" s="14" t="s">
        <v>181</v>
      </c>
      <c r="B18" s="2"/>
      <c r="C18" s="2"/>
      <c r="D18" s="2"/>
      <c r="E18" s="2"/>
      <c r="F18" s="3"/>
      <c r="G18" s="32"/>
    </row>
    <row r="19" ht="15.75" customHeight="1">
      <c r="A19" s="15" t="s">
        <v>182</v>
      </c>
      <c r="B19" s="20">
        <f>7422863*1.15</f>
        <v>8536292.45</v>
      </c>
      <c r="C19" s="26">
        <f>B19/Assumptions!B5</f>
        <v>412.3812778</v>
      </c>
      <c r="E19" s="20">
        <v>0.0</v>
      </c>
      <c r="F19" s="36">
        <f t="shared" ref="F19:F25" si="5">B19-E19</f>
        <v>8536292.45</v>
      </c>
      <c r="G19" s="32"/>
    </row>
    <row r="20" ht="15.75" customHeight="1">
      <c r="A20" s="15" t="s">
        <v>183</v>
      </c>
      <c r="B20" s="20">
        <f>2277000*1.15</f>
        <v>2618550</v>
      </c>
      <c r="C20" s="26">
        <f>B20/Assumptions!B5</f>
        <v>126.5</v>
      </c>
      <c r="E20" s="20">
        <v>0.0</v>
      </c>
      <c r="F20" s="36">
        <f t="shared" si="5"/>
        <v>2618550</v>
      </c>
      <c r="G20" s="32"/>
    </row>
    <row r="21" ht="15.75" customHeight="1">
      <c r="A21" s="15" t="s">
        <v>184</v>
      </c>
      <c r="B21" s="20">
        <f>8973450*1.15</f>
        <v>10319467.5</v>
      </c>
      <c r="C21" s="26">
        <f>B21/Assumptions!B5</f>
        <v>498.525</v>
      </c>
      <c r="E21" s="20">
        <v>0.0</v>
      </c>
      <c r="F21" s="36">
        <f t="shared" si="5"/>
        <v>10319467.5</v>
      </c>
      <c r="G21" s="32"/>
    </row>
    <row r="22" ht="15.75" customHeight="1">
      <c r="A22" s="15" t="s">
        <v>185</v>
      </c>
      <c r="B22" s="20">
        <f>601218*1.15</f>
        <v>691400.7</v>
      </c>
      <c r="C22" s="26">
        <f>B22/Assumptions!B5</f>
        <v>33.401</v>
      </c>
      <c r="E22" s="20">
        <v>0.0</v>
      </c>
      <c r="F22" s="36">
        <f t="shared" si="5"/>
        <v>691400.7</v>
      </c>
      <c r="G22" s="32"/>
    </row>
    <row r="23" ht="15.75" customHeight="1">
      <c r="A23" s="15" t="s">
        <v>186</v>
      </c>
      <c r="B23" s="20">
        <f>4230522*1.15</f>
        <v>4865100.3</v>
      </c>
      <c r="C23" s="26">
        <f>B23/Assumptions!B5</f>
        <v>235.029</v>
      </c>
      <c r="E23" s="20">
        <v>0.0</v>
      </c>
      <c r="F23" s="36">
        <f t="shared" si="5"/>
        <v>4865100.3</v>
      </c>
      <c r="G23" s="32"/>
    </row>
    <row r="24" ht="15.75" customHeight="1">
      <c r="A24" s="15" t="s">
        <v>187</v>
      </c>
      <c r="B24" s="20">
        <f>1522857*1.15</f>
        <v>1751285.55</v>
      </c>
      <c r="C24" s="26">
        <f>B24/Assumptions!B5</f>
        <v>84.60316667</v>
      </c>
      <c r="E24" s="20">
        <v>0.0</v>
      </c>
      <c r="F24" s="36">
        <f t="shared" si="5"/>
        <v>1751285.55</v>
      </c>
      <c r="G24" s="32"/>
    </row>
    <row r="25" ht="15.75" customHeight="1">
      <c r="A25" s="15" t="s">
        <v>188</v>
      </c>
      <c r="B25" s="36">
        <f>SUM(B19:B24)*G25</f>
        <v>2878209.65</v>
      </c>
      <c r="C25" s="26">
        <f>B25/Assumptions!B5</f>
        <v>139.0439444</v>
      </c>
      <c r="E25" s="20">
        <v>0.0</v>
      </c>
      <c r="F25" s="36">
        <f t="shared" si="5"/>
        <v>2878209.65</v>
      </c>
      <c r="G25" s="40">
        <v>0.1</v>
      </c>
    </row>
    <row r="26" ht="18.0" customHeight="1">
      <c r="A26" s="37" t="s">
        <v>189</v>
      </c>
      <c r="B26" s="38">
        <f>SUM(B19:B25)</f>
        <v>31660306.15</v>
      </c>
      <c r="C26" s="38">
        <f>B26/Assumptions!B5</f>
        <v>1529.483389</v>
      </c>
      <c r="D26" s="39">
        <f>B26/Assumptions!B11</f>
        <v>0.3583192372</v>
      </c>
      <c r="E26" s="38">
        <f t="shared" ref="E26:F26" si="6">SUM(E19:E25)</f>
        <v>0</v>
      </c>
      <c r="F26" s="38">
        <f t="shared" si="6"/>
        <v>31660306.15</v>
      </c>
      <c r="G26" s="41"/>
    </row>
    <row r="27" ht="18.0" customHeight="1">
      <c r="A27" s="14" t="s">
        <v>190</v>
      </c>
      <c r="B27" s="2"/>
      <c r="C27" s="2"/>
      <c r="D27" s="2"/>
      <c r="E27" s="2"/>
      <c r="F27" s="3"/>
      <c r="G27" s="41"/>
    </row>
    <row r="28" ht="15.75" customHeight="1">
      <c r="A28" s="15" t="s">
        <v>191</v>
      </c>
      <c r="B28" s="20">
        <v>1882299.0</v>
      </c>
      <c r="C28" s="26">
        <f>B28/Assumptions!B5</f>
        <v>90.93231884</v>
      </c>
      <c r="E28" s="20">
        <v>0.0</v>
      </c>
      <c r="F28" s="36">
        <f>B28-E28</f>
        <v>1882299</v>
      </c>
      <c r="G28" s="41"/>
    </row>
    <row r="29" ht="18.0" customHeight="1">
      <c r="A29" s="37" t="s">
        <v>192</v>
      </c>
      <c r="B29" s="38">
        <f>SUM(B28)</f>
        <v>1882299</v>
      </c>
      <c r="C29" s="38">
        <f>B29/Assumptions!B5</f>
        <v>90.93231884</v>
      </c>
      <c r="D29" s="39">
        <f>B29/Assumptions!B11</f>
        <v>0.02130314024</v>
      </c>
      <c r="E29" s="38">
        <f t="shared" ref="E29:F29" si="7">SUM(E28)</f>
        <v>0</v>
      </c>
      <c r="F29" s="38">
        <f t="shared" si="7"/>
        <v>1882299</v>
      </c>
      <c r="G29" s="41"/>
    </row>
    <row r="30" ht="18.0" customHeight="1">
      <c r="A30" s="14" t="s">
        <v>193</v>
      </c>
      <c r="B30" s="2"/>
      <c r="C30" s="2"/>
      <c r="D30" s="2"/>
      <c r="E30" s="2"/>
      <c r="F30" s="3"/>
      <c r="G30" s="41"/>
    </row>
    <row r="31" ht="15.75" customHeight="1">
      <c r="A31" s="15" t="s">
        <v>194</v>
      </c>
      <c r="B31" s="20">
        <v>3000000.0</v>
      </c>
      <c r="C31" s="26">
        <f>B31/Assumptions!B5</f>
        <v>144.9275362</v>
      </c>
      <c r="E31" s="20">
        <v>0.0</v>
      </c>
      <c r="F31" s="36">
        <f t="shared" ref="F31:F34" si="8">B31-E31</f>
        <v>3000000</v>
      </c>
      <c r="G31" s="41"/>
    </row>
    <row r="32" ht="15.75" customHeight="1">
      <c r="A32" s="15" t="s">
        <v>195</v>
      </c>
      <c r="B32" s="20">
        <v>3500000.0</v>
      </c>
      <c r="C32" s="26">
        <f>B32/Assumptions!B5</f>
        <v>169.0821256</v>
      </c>
      <c r="E32" s="20">
        <v>0.0</v>
      </c>
      <c r="F32" s="36">
        <f t="shared" si="8"/>
        <v>3500000</v>
      </c>
      <c r="G32" s="41"/>
    </row>
    <row r="33" ht="15.75" customHeight="1">
      <c r="A33" s="15" t="s">
        <v>196</v>
      </c>
      <c r="B33" s="20">
        <v>4500000.0</v>
      </c>
      <c r="C33" s="26">
        <f>B33/Assumptions!B5</f>
        <v>217.3913043</v>
      </c>
      <c r="E33" s="20">
        <v>0.0</v>
      </c>
      <c r="F33" s="36">
        <f t="shared" si="8"/>
        <v>4500000</v>
      </c>
      <c r="G33" s="41"/>
    </row>
    <row r="34" ht="15.75" customHeight="1">
      <c r="A34" s="15" t="s">
        <v>197</v>
      </c>
      <c r="B34" s="20">
        <v>800000.0</v>
      </c>
      <c r="C34" s="26">
        <f>B34/Assumptions!B5</f>
        <v>38.647343</v>
      </c>
      <c r="E34" s="20">
        <v>0.0</v>
      </c>
      <c r="F34" s="36">
        <f t="shared" si="8"/>
        <v>800000</v>
      </c>
      <c r="G34" s="41"/>
    </row>
    <row r="35" ht="18.0" customHeight="1">
      <c r="A35" s="37" t="s">
        <v>198</v>
      </c>
      <c r="B35" s="38">
        <f>SUM(B31:B34)</f>
        <v>11800000</v>
      </c>
      <c r="C35" s="38">
        <f>B35/Assumptions!B5</f>
        <v>570.0483092</v>
      </c>
      <c r="D35" s="39">
        <f>B35/Assumptions!B11</f>
        <v>0.1335478874</v>
      </c>
      <c r="E35" s="38">
        <f t="shared" ref="E35:F35" si="9">SUM(E31:E34)</f>
        <v>0</v>
      </c>
      <c r="F35" s="38">
        <f t="shared" si="9"/>
        <v>11800000</v>
      </c>
      <c r="G35" s="41"/>
    </row>
    <row r="36" ht="18.0" customHeight="1">
      <c r="A36" s="14" t="s">
        <v>199</v>
      </c>
      <c r="B36" s="2"/>
      <c r="C36" s="2"/>
      <c r="D36" s="2"/>
      <c r="E36" s="2"/>
      <c r="F36" s="3"/>
      <c r="G36" s="41"/>
    </row>
    <row r="37" ht="15.75" customHeight="1">
      <c r="A37" s="15" t="s">
        <v>200</v>
      </c>
      <c r="B37" s="36">
        <f>SUM(B13:B16,B19:B24,B28)*G37</f>
        <v>3270724.55</v>
      </c>
      <c r="C37" s="26">
        <f>B37/Assumptions!B5</f>
        <v>158.0060169</v>
      </c>
      <c r="E37" s="20">
        <v>600000.0</v>
      </c>
      <c r="F37" s="36">
        <f t="shared" ref="F37:F46" si="10">B37-E37</f>
        <v>2670724.55</v>
      </c>
      <c r="G37" s="42">
        <v>0.1</v>
      </c>
    </row>
    <row r="38" ht="15.75" customHeight="1">
      <c r="A38" s="15" t="s">
        <v>201</v>
      </c>
      <c r="B38" s="36">
        <f>SUM(B35,B29,B19:B25)*G38</f>
        <v>2040417.232</v>
      </c>
      <c r="C38" s="26">
        <f>B38/Assumptions!B5</f>
        <v>98.57088076</v>
      </c>
      <c r="E38" s="20">
        <v>359658.0</v>
      </c>
      <c r="F38" s="36">
        <f t="shared" si="10"/>
        <v>1680759.232</v>
      </c>
      <c r="G38" s="42">
        <v>0.045</v>
      </c>
    </row>
    <row r="39" ht="15.75" customHeight="1">
      <c r="A39" s="15" t="s">
        <v>202</v>
      </c>
      <c r="B39" s="36">
        <f>SUM(B17,B26,B29,B35,B37:B38,B40:B44)*G39</f>
        <v>8642015.234</v>
      </c>
      <c r="C39" s="26">
        <f>B39/Assumptions!B5</f>
        <v>417.4886587</v>
      </c>
      <c r="E39" s="20">
        <v>986233.0</v>
      </c>
      <c r="F39" s="36">
        <f t="shared" si="10"/>
        <v>7655782.234</v>
      </c>
      <c r="G39" s="40">
        <v>0.15</v>
      </c>
    </row>
    <row r="40" ht="15.75" customHeight="1">
      <c r="A40" s="15" t="s">
        <v>203</v>
      </c>
      <c r="B40" s="36">
        <f>SUM(B17,B19:B24,B29)*G40</f>
        <v>261657.964</v>
      </c>
      <c r="C40" s="26">
        <f>B40/Assumptions!B5</f>
        <v>12.64048135</v>
      </c>
      <c r="E40" s="20">
        <v>57906.0</v>
      </c>
      <c r="F40" s="36">
        <f t="shared" si="10"/>
        <v>203751.964</v>
      </c>
      <c r="G40" s="42">
        <v>0.008</v>
      </c>
    </row>
    <row r="41" ht="15.75" customHeight="1">
      <c r="A41" s="15" t="s">
        <v>204</v>
      </c>
      <c r="B41" s="20">
        <v>2500000.0</v>
      </c>
      <c r="C41" s="26">
        <f>B41/Assumptions!B5</f>
        <v>120.7729469</v>
      </c>
      <c r="E41" s="20">
        <v>0.0</v>
      </c>
      <c r="F41" s="36">
        <f t="shared" si="10"/>
        <v>2500000</v>
      </c>
      <c r="G41" s="41"/>
    </row>
    <row r="42" ht="15.75" customHeight="1">
      <c r="A42" s="15" t="s">
        <v>205</v>
      </c>
      <c r="B42" s="20">
        <v>380000.0</v>
      </c>
      <c r="C42" s="26">
        <f>B42/Assumptions!B5</f>
        <v>18.35748792</v>
      </c>
      <c r="E42" s="20">
        <v>380000.0</v>
      </c>
      <c r="F42" s="36">
        <f t="shared" si="10"/>
        <v>0</v>
      </c>
      <c r="G42" s="41"/>
    </row>
    <row r="43" ht="15.75" customHeight="1">
      <c r="A43" s="15" t="s">
        <v>206</v>
      </c>
      <c r="B43" s="20">
        <v>50180.0</v>
      </c>
      <c r="C43" s="26">
        <f>B43/Assumptions!B5</f>
        <v>2.424154589</v>
      </c>
      <c r="E43" s="20">
        <v>50180.0</v>
      </c>
      <c r="F43" s="36">
        <f t="shared" si="10"/>
        <v>0</v>
      </c>
      <c r="G43" s="41"/>
    </row>
    <row r="44" ht="18.0" customHeight="1">
      <c r="A44" s="15" t="s">
        <v>207</v>
      </c>
      <c r="B44" s="36">
        <f>30000000*G44</f>
        <v>1725000</v>
      </c>
      <c r="C44" s="26">
        <f>B44/Assumptions!B5</f>
        <v>83.33333333</v>
      </c>
      <c r="E44" s="20">
        <f t="shared" ref="E44:E46" si="11">B44</f>
        <v>1725000</v>
      </c>
      <c r="F44" s="36">
        <f t="shared" si="10"/>
        <v>0</v>
      </c>
      <c r="G44" s="42">
        <v>0.0575</v>
      </c>
    </row>
    <row r="45" ht="18.0" customHeight="1">
      <c r="A45" s="15" t="s">
        <v>208</v>
      </c>
      <c r="B45" s="36">
        <f>(B26-B25)*G45</f>
        <v>287820.965</v>
      </c>
      <c r="C45" s="26">
        <f>B45/Assumptions!B5</f>
        <v>13.90439444</v>
      </c>
      <c r="E45" s="20">
        <f t="shared" si="11"/>
        <v>287820.965</v>
      </c>
      <c r="F45" s="36">
        <f t="shared" si="10"/>
        <v>0</v>
      </c>
      <c r="G45" s="42">
        <v>0.01</v>
      </c>
    </row>
    <row r="46" ht="18.0" customHeight="1">
      <c r="A46" s="15" t="s">
        <v>209</v>
      </c>
      <c r="B46" s="36">
        <f>(B26-B25)*G46</f>
        <v>863462.895</v>
      </c>
      <c r="C46" s="26">
        <f>B46/Assumptions!B5</f>
        <v>41.71318333</v>
      </c>
      <c r="E46" s="20">
        <f t="shared" si="11"/>
        <v>863462.895</v>
      </c>
      <c r="F46" s="36">
        <f t="shared" si="10"/>
        <v>0</v>
      </c>
      <c r="G46" s="42">
        <v>0.03</v>
      </c>
    </row>
    <row r="47" ht="18.0" customHeight="1">
      <c r="A47" s="37" t="s">
        <v>210</v>
      </c>
      <c r="B47" s="38">
        <f>SUM(B37:B46)</f>
        <v>20021278.84</v>
      </c>
      <c r="C47" s="38">
        <f>B47/Assumptions!B5</f>
        <v>967.2115382</v>
      </c>
      <c r="D47" s="39">
        <f>B47/Assumptions!B11</f>
        <v>0.2265931772</v>
      </c>
      <c r="E47" s="38">
        <f t="shared" ref="E47:F47" si="12">SUM(E37:E46)</f>
        <v>5310260.86</v>
      </c>
      <c r="F47" s="38">
        <f t="shared" si="12"/>
        <v>14711017.98</v>
      </c>
      <c r="G47" s="32"/>
    </row>
    <row r="48" ht="18.0" customHeight="1">
      <c r="A48" s="14" t="s">
        <v>211</v>
      </c>
      <c r="B48" s="2"/>
      <c r="C48" s="2"/>
      <c r="D48" s="2"/>
      <c r="E48" s="2"/>
      <c r="F48" s="3"/>
      <c r="G48" s="32"/>
    </row>
    <row r="49" ht="15.75" customHeight="1">
      <c r="A49" s="15" t="s">
        <v>212</v>
      </c>
      <c r="B49" s="20">
        <f>Assumptions!B19*Assumptions!B20*G49</f>
        <v>2711556</v>
      </c>
      <c r="C49" s="26">
        <f>B49/Assumptions!B5</f>
        <v>130.9930435</v>
      </c>
      <c r="E49" s="20">
        <f>B49</f>
        <v>2711556</v>
      </c>
      <c r="F49" s="36">
        <f t="shared" ref="F49:F51" si="13">B49-E49</f>
        <v>0</v>
      </c>
      <c r="G49" s="43">
        <v>1.6738</v>
      </c>
    </row>
    <row r="50" ht="15.75" customHeight="1">
      <c r="A50" s="15" t="s">
        <v>213</v>
      </c>
      <c r="B50" s="20">
        <f>Assumptions!B19*G50</f>
        <v>270000</v>
      </c>
      <c r="C50" s="26">
        <f>B50/Assumptions!B5</f>
        <v>13.04347826</v>
      </c>
      <c r="E50" s="20">
        <v>270000.0</v>
      </c>
      <c r="F50" s="36">
        <f t="shared" si="13"/>
        <v>0</v>
      </c>
      <c r="G50" s="44">
        <f>Assumptions!$B$21</f>
        <v>0.03</v>
      </c>
    </row>
    <row r="51" ht="15.75" customHeight="1">
      <c r="A51" s="15" t="s">
        <v>214</v>
      </c>
      <c r="B51" s="20">
        <f>Assumptions!B22*Assumptions!B23*G51</f>
        <v>4680000</v>
      </c>
      <c r="C51" s="26">
        <f>B51/Assumptions!B5</f>
        <v>226.0869565</v>
      </c>
      <c r="E51" s="20">
        <v>0.0</v>
      </c>
      <c r="F51" s="36">
        <f t="shared" si="13"/>
        <v>4680000</v>
      </c>
      <c r="G51" s="43">
        <v>1.3</v>
      </c>
    </row>
    <row r="52" ht="18.0" customHeight="1">
      <c r="A52" s="37" t="s">
        <v>215</v>
      </c>
      <c r="B52" s="38">
        <f>SUM(B49:B51)</f>
        <v>7661556</v>
      </c>
      <c r="C52" s="38">
        <f>B52/Assumptions!B5</f>
        <v>370.1234783</v>
      </c>
      <c r="D52" s="39">
        <f>B52/Assumptions!B11</f>
        <v>0.08671056082</v>
      </c>
      <c r="E52" s="38">
        <f t="shared" ref="E52:F52" si="14">SUM(E49:E51)</f>
        <v>2981556</v>
      </c>
      <c r="F52" s="38">
        <f t="shared" si="14"/>
        <v>4680000</v>
      </c>
      <c r="G52" s="32"/>
    </row>
    <row r="53" ht="21.75" customHeight="1">
      <c r="A53" s="45" t="s">
        <v>216</v>
      </c>
      <c r="B53" s="46">
        <f>B11+B17+B26+B29+B35+B47+B52</f>
        <v>84652196.99</v>
      </c>
      <c r="C53" s="46">
        <f>B53/Assumptions!B5</f>
        <v>4089.478115</v>
      </c>
      <c r="D53" s="47">
        <f>B53/Assumptions!B11</f>
        <v>0.9580611922</v>
      </c>
      <c r="E53" s="46">
        <f t="shared" ref="E53:F53" si="15">E11+E17+E26+E29+E35+E47+E52</f>
        <v>18632723.86</v>
      </c>
      <c r="F53" s="46">
        <f t="shared" si="15"/>
        <v>66019473.13</v>
      </c>
      <c r="G53" s="32"/>
    </row>
    <row r="54" ht="15.75" customHeight="1">
      <c r="G54" s="32"/>
    </row>
    <row r="55" ht="15.0" customHeight="1">
      <c r="A55" s="48" t="s">
        <v>217</v>
      </c>
      <c r="B55" s="49">
        <f>B53/Assumptions!B4</f>
        <v>1058152.462</v>
      </c>
      <c r="C55" s="50">
        <f>C53</f>
        <v>4089.478115</v>
      </c>
      <c r="G55" s="32"/>
    </row>
    <row r="56" ht="15.0" customHeight="1">
      <c r="A56" s="48" t="s">
        <v>218</v>
      </c>
      <c r="B56" s="49">
        <f>(B53-SUM(B52))/Assumptions!B4</f>
        <v>962383.0124</v>
      </c>
      <c r="C56" s="50">
        <f>(B53-B52)/Assumptions!B5</f>
        <v>3719.354637</v>
      </c>
      <c r="G56" s="32"/>
    </row>
    <row r="57" ht="15.75" customHeight="1">
      <c r="G57" s="32"/>
    </row>
    <row r="58" ht="15.75" customHeight="1">
      <c r="A58" s="45" t="s">
        <v>219</v>
      </c>
      <c r="B58" s="46">
        <f>(B53-B52-B25)*D58</f>
        <v>3705621.567</v>
      </c>
      <c r="C58" s="46">
        <f>B58/Assumptions!$B$5</f>
        <v>179.0155346</v>
      </c>
      <c r="D58" s="51">
        <v>0.05</v>
      </c>
      <c r="E58" s="46"/>
      <c r="F58" s="46"/>
      <c r="G58" s="32"/>
    </row>
    <row r="59" ht="15.75" customHeight="1">
      <c r="A59" s="45"/>
      <c r="B59" s="46"/>
      <c r="C59" s="46"/>
      <c r="D59" s="47"/>
      <c r="E59" s="46"/>
      <c r="F59" s="46"/>
      <c r="G59" s="32"/>
    </row>
    <row r="60" ht="15.75" customHeight="1">
      <c r="A60" s="45" t="s">
        <v>220</v>
      </c>
      <c r="B60" s="46">
        <f>B58+B53</f>
        <v>88357818.56</v>
      </c>
      <c r="C60" s="46">
        <f>B60/Assumptions!$B$5</f>
        <v>4268.49365</v>
      </c>
      <c r="D60" s="47"/>
      <c r="E60" s="46"/>
      <c r="F60" s="46"/>
      <c r="G60" s="32"/>
    </row>
    <row r="61" ht="15.75" customHeight="1">
      <c r="G61" s="32"/>
    </row>
    <row r="62" ht="15.75" customHeight="1">
      <c r="A62" s="48" t="s">
        <v>217</v>
      </c>
      <c r="B62" s="49">
        <f>B60/Assumptions!B4</f>
        <v>1104472.732</v>
      </c>
      <c r="C62" s="50">
        <f>C60</f>
        <v>4268.49365</v>
      </c>
      <c r="G62" s="32"/>
    </row>
    <row r="63" ht="15.75" customHeight="1">
      <c r="A63" s="48" t="s">
        <v>218</v>
      </c>
      <c r="B63" s="49">
        <f>(B60-SUM(B52))/Assumptions!B4</f>
        <v>1008703.282</v>
      </c>
      <c r="C63" s="50">
        <f>(B60-B52)/Assumptions!B5</f>
        <v>3898.370172</v>
      </c>
      <c r="G63" s="32"/>
    </row>
    <row r="64" ht="15.75" customHeight="1">
      <c r="G64" s="32"/>
    </row>
    <row r="65" ht="15.75" customHeight="1">
      <c r="G65" s="32"/>
    </row>
    <row r="66" ht="15.75" customHeight="1">
      <c r="G66" s="32"/>
    </row>
    <row r="67" ht="15.75" customHeight="1">
      <c r="G67" s="32"/>
    </row>
    <row r="68" ht="15.75" customHeight="1">
      <c r="G68" s="32"/>
    </row>
    <row r="69" ht="15.75" customHeight="1">
      <c r="G69" s="32"/>
    </row>
    <row r="70" ht="15.75" customHeight="1">
      <c r="G70" s="32"/>
    </row>
    <row r="71" ht="15.75" customHeight="1">
      <c r="G71" s="32"/>
    </row>
    <row r="72" ht="15.75" customHeight="1">
      <c r="G72" s="32"/>
    </row>
    <row r="73" ht="15.75" customHeight="1">
      <c r="G73" s="32"/>
    </row>
    <row r="74" ht="15.75" customHeight="1">
      <c r="G74" s="32"/>
    </row>
    <row r="75" ht="15.75" customHeight="1">
      <c r="G75" s="32"/>
    </row>
    <row r="76" ht="15.75" customHeight="1">
      <c r="G76" s="32"/>
    </row>
    <row r="77" ht="15.75" customHeight="1">
      <c r="G77" s="32"/>
    </row>
    <row r="78" ht="15.75" customHeight="1">
      <c r="G78" s="32"/>
    </row>
    <row r="79" ht="15.75" customHeight="1">
      <c r="G79" s="32"/>
    </row>
    <row r="80" ht="15.75" customHeight="1">
      <c r="G80" s="32"/>
    </row>
    <row r="81" ht="15.75" customHeight="1">
      <c r="G81" s="32"/>
    </row>
    <row r="82" ht="15.75" customHeight="1">
      <c r="G82" s="32"/>
    </row>
    <row r="83" ht="15.75" customHeight="1">
      <c r="G83" s="32"/>
    </row>
    <row r="84" ht="15.75" customHeight="1">
      <c r="G84" s="32"/>
    </row>
    <row r="85" ht="15.75" customHeight="1">
      <c r="G85" s="32"/>
    </row>
    <row r="86" ht="15.75" customHeight="1">
      <c r="G86" s="32"/>
    </row>
    <row r="87" ht="15.75" customHeight="1">
      <c r="G87" s="32"/>
    </row>
    <row r="88" ht="15.75" customHeight="1">
      <c r="G88" s="32"/>
    </row>
    <row r="89" ht="15.75" customHeight="1">
      <c r="G89" s="32"/>
    </row>
    <row r="90" ht="15.75" customHeight="1">
      <c r="G90" s="32"/>
    </row>
    <row r="91" ht="15.75" customHeight="1">
      <c r="G91" s="32"/>
    </row>
    <row r="92" ht="15.75" customHeight="1">
      <c r="G92" s="32"/>
    </row>
    <row r="93" ht="15.75" customHeight="1">
      <c r="G93" s="32"/>
    </row>
    <row r="94" ht="15.75" customHeight="1">
      <c r="G94" s="32"/>
    </row>
    <row r="95" ht="15.75" customHeight="1">
      <c r="G95" s="32"/>
    </row>
    <row r="96" ht="15.75" customHeight="1">
      <c r="G96" s="32"/>
    </row>
    <row r="97" ht="15.75" customHeight="1">
      <c r="G97" s="32"/>
    </row>
    <row r="98" ht="15.75" customHeight="1">
      <c r="G98" s="32"/>
    </row>
    <row r="99" ht="15.75" customHeight="1">
      <c r="G99" s="32"/>
    </row>
    <row r="100" ht="15.75" customHeight="1">
      <c r="G100" s="32"/>
    </row>
    <row r="101" ht="15.75" customHeight="1">
      <c r="G101" s="32"/>
    </row>
    <row r="102" ht="15.75" customHeight="1">
      <c r="G102" s="32"/>
    </row>
    <row r="103" ht="15.75" customHeight="1">
      <c r="G103" s="32"/>
    </row>
    <row r="104" ht="15.75" customHeight="1">
      <c r="G104" s="32"/>
    </row>
    <row r="105" ht="15.75" customHeight="1">
      <c r="G105" s="32"/>
    </row>
    <row r="106" ht="15.75" customHeight="1">
      <c r="G106" s="32"/>
    </row>
    <row r="107" ht="15.75" customHeight="1">
      <c r="G107" s="32"/>
    </row>
    <row r="108" ht="15.75" customHeight="1">
      <c r="G108" s="32"/>
    </row>
    <row r="109" ht="15.75" customHeight="1">
      <c r="G109" s="32"/>
    </row>
    <row r="110" ht="15.75" customHeight="1">
      <c r="G110" s="32"/>
    </row>
    <row r="111" ht="15.75" customHeight="1">
      <c r="G111" s="32"/>
    </row>
    <row r="112" ht="15.75" customHeight="1">
      <c r="G112" s="32"/>
    </row>
    <row r="113" ht="15.75" customHeight="1">
      <c r="G113" s="32"/>
    </row>
    <row r="114" ht="15.75" customHeight="1">
      <c r="G114" s="32"/>
    </row>
    <row r="115" ht="15.75" customHeight="1">
      <c r="G115" s="32"/>
    </row>
    <row r="116" ht="15.75" customHeight="1">
      <c r="G116" s="32"/>
    </row>
    <row r="117" ht="15.75" customHeight="1">
      <c r="G117" s="32"/>
    </row>
    <row r="118" ht="15.75" customHeight="1">
      <c r="G118" s="32"/>
    </row>
    <row r="119" ht="15.75" customHeight="1">
      <c r="G119" s="32"/>
    </row>
    <row r="120" ht="15.75" customHeight="1">
      <c r="G120" s="32"/>
    </row>
    <row r="121" ht="15.75" customHeight="1">
      <c r="G121" s="32"/>
    </row>
    <row r="122" ht="15.75" customHeight="1">
      <c r="G122" s="32"/>
    </row>
    <row r="123" ht="15.75" customHeight="1">
      <c r="G123" s="32"/>
    </row>
    <row r="124" ht="15.75" customHeight="1">
      <c r="G124" s="32"/>
    </row>
    <row r="125" ht="15.75" customHeight="1">
      <c r="G125" s="32"/>
    </row>
    <row r="126" ht="15.75" customHeight="1">
      <c r="G126" s="32"/>
    </row>
    <row r="127" ht="15.75" customHeight="1">
      <c r="G127" s="32"/>
    </row>
    <row r="128" ht="15.75" customHeight="1">
      <c r="G128" s="32"/>
    </row>
    <row r="129" ht="15.75" customHeight="1">
      <c r="G129" s="32"/>
    </row>
    <row r="130" ht="15.75" customHeight="1">
      <c r="G130" s="32"/>
    </row>
    <row r="131" ht="15.75" customHeight="1">
      <c r="G131" s="32"/>
    </row>
    <row r="132" ht="15.75" customHeight="1">
      <c r="G132" s="32"/>
    </row>
    <row r="133" ht="15.75" customHeight="1">
      <c r="G133" s="32"/>
    </row>
    <row r="134" ht="15.75" customHeight="1">
      <c r="G134" s="32"/>
    </row>
    <row r="135" ht="15.75" customHeight="1">
      <c r="G135" s="32"/>
    </row>
    <row r="136" ht="15.75" customHeight="1">
      <c r="G136" s="32"/>
    </row>
    <row r="137" ht="15.75" customHeight="1">
      <c r="G137" s="32"/>
    </row>
    <row r="138" ht="15.75" customHeight="1">
      <c r="G138" s="32"/>
    </row>
    <row r="139" ht="15.75" customHeight="1">
      <c r="G139" s="32"/>
    </row>
    <row r="140" ht="15.75" customHeight="1">
      <c r="G140" s="32"/>
    </row>
    <row r="141" ht="15.75" customHeight="1">
      <c r="G141" s="32"/>
    </row>
    <row r="142" ht="15.75" customHeight="1">
      <c r="G142" s="32"/>
    </row>
    <row r="143" ht="15.75" customHeight="1">
      <c r="G143" s="32"/>
    </row>
    <row r="144" ht="15.75" customHeight="1">
      <c r="G144" s="32"/>
    </row>
    <row r="145" ht="15.75" customHeight="1">
      <c r="G145" s="32"/>
    </row>
    <row r="146" ht="15.75" customHeight="1">
      <c r="G146" s="32"/>
    </row>
    <row r="147" ht="15.75" customHeight="1">
      <c r="G147" s="32"/>
    </row>
    <row r="148" ht="15.75" customHeight="1">
      <c r="G148" s="32"/>
    </row>
    <row r="149" ht="15.75" customHeight="1">
      <c r="G149" s="32"/>
    </row>
    <row r="150" ht="15.75" customHeight="1">
      <c r="G150" s="32"/>
    </row>
    <row r="151" ht="15.75" customHeight="1">
      <c r="G151" s="32"/>
    </row>
    <row r="152" ht="15.75" customHeight="1">
      <c r="G152" s="32"/>
    </row>
    <row r="153" ht="15.75" customHeight="1">
      <c r="G153" s="32"/>
    </row>
    <row r="154" ht="15.75" customHeight="1">
      <c r="G154" s="32"/>
    </row>
    <row r="155" ht="15.75" customHeight="1">
      <c r="G155" s="32"/>
    </row>
    <row r="156" ht="15.75" customHeight="1">
      <c r="G156" s="32"/>
    </row>
    <row r="157" ht="15.75" customHeight="1">
      <c r="G157" s="32"/>
    </row>
    <row r="158" ht="15.75" customHeight="1">
      <c r="G158" s="32"/>
    </row>
    <row r="159" ht="15.75" customHeight="1">
      <c r="G159" s="32"/>
    </row>
    <row r="160" ht="15.75" customHeight="1">
      <c r="G160" s="32"/>
    </row>
    <row r="161" ht="15.75" customHeight="1">
      <c r="G161" s="32"/>
    </row>
    <row r="162" ht="15.75" customHeight="1">
      <c r="G162" s="32"/>
    </row>
    <row r="163" ht="15.75" customHeight="1">
      <c r="G163" s="32"/>
    </row>
    <row r="164" ht="15.75" customHeight="1">
      <c r="G164" s="32"/>
    </row>
    <row r="165" ht="15.75" customHeight="1">
      <c r="G165" s="32"/>
    </row>
    <row r="166" ht="15.75" customHeight="1">
      <c r="G166" s="32"/>
    </row>
    <row r="167" ht="15.75" customHeight="1">
      <c r="G167" s="32"/>
    </row>
    <row r="168" ht="15.75" customHeight="1">
      <c r="G168" s="32"/>
    </row>
    <row r="169" ht="15.75" customHeight="1">
      <c r="G169" s="32"/>
    </row>
    <row r="170" ht="15.75" customHeight="1">
      <c r="G170" s="32"/>
    </row>
    <row r="171" ht="15.75" customHeight="1">
      <c r="G171" s="32"/>
    </row>
    <row r="172" ht="15.75" customHeight="1">
      <c r="G172" s="32"/>
    </row>
    <row r="173" ht="15.75" customHeight="1">
      <c r="G173" s="32"/>
    </row>
    <row r="174" ht="15.75" customHeight="1">
      <c r="G174" s="32"/>
    </row>
    <row r="175" ht="15.75" customHeight="1">
      <c r="G175" s="32"/>
    </row>
    <row r="176" ht="15.75" customHeight="1">
      <c r="G176" s="32"/>
    </row>
    <row r="177" ht="15.75" customHeight="1">
      <c r="G177" s="32"/>
    </row>
    <row r="178" ht="15.75" customHeight="1">
      <c r="G178" s="32"/>
    </row>
    <row r="179" ht="15.75" customHeight="1">
      <c r="G179" s="32"/>
    </row>
    <row r="180" ht="15.75" customHeight="1">
      <c r="G180" s="32"/>
    </row>
    <row r="181" ht="15.75" customHeight="1">
      <c r="G181" s="32"/>
    </row>
    <row r="182" ht="15.75" customHeight="1">
      <c r="G182" s="32"/>
    </row>
    <row r="183" ht="15.75" customHeight="1">
      <c r="G183" s="32"/>
    </row>
    <row r="184" ht="15.75" customHeight="1">
      <c r="G184" s="32"/>
    </row>
    <row r="185" ht="15.75" customHeight="1">
      <c r="G185" s="32"/>
    </row>
    <row r="186" ht="15.75" customHeight="1">
      <c r="G186" s="32"/>
    </row>
    <row r="187" ht="15.75" customHeight="1">
      <c r="G187" s="32"/>
    </row>
    <row r="188" ht="15.75" customHeight="1">
      <c r="G188" s="32"/>
    </row>
    <row r="189" ht="15.75" customHeight="1">
      <c r="G189" s="32"/>
    </row>
    <row r="190" ht="15.75" customHeight="1">
      <c r="G190" s="32"/>
    </row>
    <row r="191" ht="15.75" customHeight="1">
      <c r="G191" s="32"/>
    </row>
    <row r="192" ht="15.75" customHeight="1">
      <c r="G192" s="32"/>
    </row>
    <row r="193" ht="15.75" customHeight="1">
      <c r="G193" s="32"/>
    </row>
    <row r="194" ht="15.75" customHeight="1">
      <c r="G194" s="32"/>
    </row>
    <row r="195" ht="15.75" customHeight="1">
      <c r="G195" s="32"/>
    </row>
    <row r="196" ht="15.75" customHeight="1">
      <c r="G196" s="32"/>
    </row>
    <row r="197" ht="15.75" customHeight="1">
      <c r="G197" s="32"/>
    </row>
    <row r="198" ht="15.75" customHeight="1">
      <c r="G198" s="32"/>
    </row>
    <row r="199" ht="15.75" customHeight="1">
      <c r="G199" s="32"/>
    </row>
    <row r="200" ht="15.75" customHeight="1">
      <c r="G200" s="32"/>
    </row>
    <row r="201" ht="15.75" customHeight="1">
      <c r="G201" s="32"/>
    </row>
    <row r="202" ht="15.75" customHeight="1">
      <c r="G202" s="32"/>
    </row>
    <row r="203" ht="15.75" customHeight="1">
      <c r="G203" s="32"/>
    </row>
    <row r="204" ht="15.75" customHeight="1">
      <c r="G204" s="32"/>
    </row>
    <row r="205" ht="15.75" customHeight="1">
      <c r="G205" s="32"/>
    </row>
    <row r="206" ht="15.75" customHeight="1">
      <c r="G206" s="32"/>
    </row>
    <row r="207" ht="15.75" customHeight="1">
      <c r="G207" s="32"/>
    </row>
    <row r="208" ht="15.75" customHeight="1">
      <c r="G208" s="32"/>
    </row>
    <row r="209" ht="15.75" customHeight="1">
      <c r="G209" s="32"/>
    </row>
    <row r="210" ht="15.75" customHeight="1">
      <c r="G210" s="32"/>
    </row>
    <row r="211" ht="15.75" customHeight="1">
      <c r="G211" s="32"/>
    </row>
    <row r="212" ht="15.75" customHeight="1">
      <c r="G212" s="32"/>
    </row>
    <row r="213" ht="15.75" customHeight="1">
      <c r="G213" s="32"/>
    </row>
    <row r="214" ht="15.75" customHeight="1">
      <c r="G214" s="32"/>
    </row>
    <row r="215" ht="15.75" customHeight="1">
      <c r="G215" s="32"/>
    </row>
    <row r="216" ht="15.75" customHeight="1">
      <c r="G216" s="32"/>
    </row>
    <row r="217" ht="15.75" customHeight="1">
      <c r="G217" s="32"/>
    </row>
    <row r="218" ht="15.75" customHeight="1">
      <c r="G218" s="32"/>
    </row>
    <row r="219" ht="15.75" customHeight="1">
      <c r="G219" s="32"/>
    </row>
    <row r="220" ht="15.75" customHeight="1">
      <c r="G220" s="32"/>
    </row>
    <row r="221" ht="15.75" customHeight="1">
      <c r="G221" s="32"/>
    </row>
    <row r="222" ht="15.75" customHeight="1">
      <c r="G222" s="32"/>
    </row>
    <row r="223" ht="15.75" customHeight="1">
      <c r="G223" s="32"/>
    </row>
    <row r="224" ht="15.75" customHeight="1">
      <c r="G224" s="32"/>
    </row>
    <row r="225" ht="15.75" customHeight="1">
      <c r="G225" s="32"/>
    </row>
    <row r="226" ht="15.75" customHeight="1">
      <c r="G226" s="32"/>
    </row>
    <row r="227" ht="15.75" customHeight="1">
      <c r="G227" s="32"/>
    </row>
    <row r="228" ht="15.75" customHeight="1">
      <c r="G228" s="32"/>
    </row>
    <row r="229" ht="15.75" customHeight="1">
      <c r="G229" s="32"/>
    </row>
    <row r="230" ht="15.75" customHeight="1">
      <c r="G230" s="32"/>
    </row>
    <row r="231" ht="15.75" customHeight="1">
      <c r="G231" s="32"/>
    </row>
    <row r="232" ht="15.75" customHeight="1">
      <c r="G232" s="32"/>
    </row>
    <row r="233" ht="15.75" customHeight="1">
      <c r="G233" s="32"/>
    </row>
    <row r="234" ht="15.75" customHeight="1">
      <c r="G234" s="32"/>
    </row>
    <row r="235" ht="15.75" customHeight="1">
      <c r="G235" s="32"/>
    </row>
    <row r="236" ht="15.75" customHeight="1">
      <c r="G236" s="32"/>
    </row>
    <row r="237" ht="15.75" customHeight="1">
      <c r="G237" s="32"/>
    </row>
    <row r="238" ht="15.75" customHeight="1">
      <c r="G238" s="32"/>
    </row>
    <row r="239" ht="15.75" customHeight="1">
      <c r="G239" s="32"/>
    </row>
    <row r="240" ht="15.75" customHeight="1">
      <c r="G240" s="32"/>
    </row>
    <row r="241" ht="15.75" customHeight="1">
      <c r="G241" s="32"/>
    </row>
    <row r="242" ht="15.75" customHeight="1">
      <c r="G242" s="32"/>
    </row>
    <row r="243" ht="15.75" customHeight="1">
      <c r="G243" s="32"/>
    </row>
    <row r="244" ht="15.75" customHeight="1">
      <c r="G244" s="32"/>
    </row>
    <row r="245" ht="15.75" customHeight="1">
      <c r="G245" s="32"/>
    </row>
    <row r="246" ht="15.75" customHeight="1">
      <c r="G246" s="32"/>
    </row>
    <row r="247" ht="15.75" customHeight="1">
      <c r="G247" s="32"/>
    </row>
    <row r="248" ht="15.75" customHeight="1">
      <c r="G248" s="32"/>
    </row>
    <row r="249" ht="15.75" customHeight="1">
      <c r="G249" s="32"/>
    </row>
    <row r="250" ht="15.75" customHeight="1">
      <c r="G250" s="32"/>
    </row>
    <row r="251" ht="15.75" customHeight="1">
      <c r="G251" s="32"/>
    </row>
    <row r="252" ht="15.75" customHeight="1">
      <c r="G252" s="32"/>
    </row>
    <row r="253" ht="15.75" customHeight="1">
      <c r="G253" s="32"/>
    </row>
    <row r="254" ht="15.75" customHeight="1">
      <c r="G254" s="32"/>
    </row>
    <row r="255" ht="15.75" customHeight="1">
      <c r="G255" s="32"/>
    </row>
    <row r="256" ht="15.75" customHeight="1">
      <c r="G256" s="32"/>
    </row>
    <row r="257" ht="15.75" customHeight="1">
      <c r="G257" s="32"/>
    </row>
    <row r="258" ht="15.75" customHeight="1">
      <c r="G258" s="32"/>
    </row>
    <row r="259" ht="15.75" customHeight="1">
      <c r="G259" s="32"/>
    </row>
    <row r="260" ht="15.75" customHeight="1">
      <c r="G260" s="32"/>
    </row>
    <row r="261" ht="15.75" customHeight="1">
      <c r="G261" s="32"/>
    </row>
    <row r="262" ht="15.75" customHeight="1">
      <c r="G262" s="32"/>
    </row>
    <row r="263" ht="15.75" customHeight="1">
      <c r="G263" s="32"/>
    </row>
    <row r="264" ht="15.75" customHeight="1">
      <c r="G264" s="32"/>
    </row>
    <row r="265" ht="15.75" customHeight="1">
      <c r="G265" s="32"/>
    </row>
    <row r="266" ht="15.75" customHeight="1">
      <c r="G266" s="32"/>
    </row>
    <row r="267" ht="15.75" customHeight="1">
      <c r="G267" s="32"/>
    </row>
    <row r="268" ht="15.75" customHeight="1">
      <c r="G268" s="32"/>
    </row>
    <row r="269" ht="15.75" customHeight="1">
      <c r="G269" s="32"/>
    </row>
    <row r="270" ht="15.75" customHeight="1">
      <c r="G270" s="32"/>
    </row>
    <row r="271" ht="15.75" customHeight="1">
      <c r="G271" s="32"/>
    </row>
    <row r="272" ht="15.75" customHeight="1">
      <c r="G272" s="32"/>
    </row>
    <row r="273" ht="15.75" customHeight="1">
      <c r="G273" s="32"/>
    </row>
    <row r="274" ht="15.75" customHeight="1">
      <c r="G274" s="32"/>
    </row>
    <row r="275" ht="15.75" customHeight="1">
      <c r="G275" s="32"/>
    </row>
    <row r="276" ht="15.75" customHeight="1">
      <c r="G276" s="32"/>
    </row>
    <row r="277" ht="15.75" customHeight="1">
      <c r="G277" s="32"/>
    </row>
    <row r="278" ht="15.75" customHeight="1">
      <c r="G278" s="32"/>
    </row>
    <row r="279" ht="15.75" customHeight="1">
      <c r="G279" s="32"/>
    </row>
    <row r="280" ht="15.75" customHeight="1">
      <c r="G280" s="32"/>
    </row>
    <row r="281" ht="15.75" customHeight="1">
      <c r="G281" s="32"/>
    </row>
    <row r="282" ht="15.75" customHeight="1">
      <c r="G282" s="32"/>
    </row>
    <row r="283" ht="15.75" customHeight="1">
      <c r="G283" s="32"/>
    </row>
    <row r="284" ht="15.75" customHeight="1">
      <c r="G284" s="32"/>
    </row>
    <row r="285" ht="15.75" customHeight="1">
      <c r="G285" s="32"/>
    </row>
    <row r="286" ht="15.75" customHeight="1">
      <c r="G286" s="32"/>
    </row>
    <row r="287" ht="15.75" customHeight="1">
      <c r="G287" s="32"/>
    </row>
    <row r="288" ht="15.75" customHeight="1">
      <c r="G288" s="32"/>
    </row>
    <row r="289" ht="15.75" customHeight="1">
      <c r="G289" s="32"/>
    </row>
    <row r="290" ht="15.75" customHeight="1">
      <c r="G290" s="32"/>
    </row>
    <row r="291" ht="15.75" customHeight="1">
      <c r="G291" s="32"/>
    </row>
    <row r="292" ht="15.75" customHeight="1">
      <c r="G292" s="32"/>
    </row>
    <row r="293" ht="15.75" customHeight="1">
      <c r="G293" s="32"/>
    </row>
    <row r="294" ht="15.75" customHeight="1">
      <c r="G294" s="32"/>
    </row>
    <row r="295" ht="15.75" customHeight="1">
      <c r="G295" s="32"/>
    </row>
    <row r="296" ht="15.75" customHeight="1">
      <c r="G296" s="32"/>
    </row>
    <row r="297" ht="15.75" customHeight="1">
      <c r="G297" s="32"/>
    </row>
    <row r="298" ht="15.75" customHeight="1">
      <c r="G298" s="32"/>
    </row>
    <row r="299" ht="15.75" customHeight="1">
      <c r="G299" s="32"/>
    </row>
    <row r="300" ht="15.75" customHeight="1">
      <c r="G300" s="32"/>
    </row>
    <row r="301" ht="15.75" customHeight="1">
      <c r="G301" s="32"/>
    </row>
    <row r="302" ht="15.75" customHeight="1">
      <c r="G302" s="32"/>
    </row>
    <row r="303" ht="15.75" customHeight="1">
      <c r="G303" s="32"/>
    </row>
    <row r="304" ht="15.75" customHeight="1">
      <c r="G304" s="32"/>
    </row>
    <row r="305" ht="15.75" customHeight="1">
      <c r="G305" s="32"/>
    </row>
    <row r="306" ht="15.75" customHeight="1">
      <c r="G306" s="32"/>
    </row>
    <row r="307" ht="15.75" customHeight="1">
      <c r="G307" s="32"/>
    </row>
    <row r="308" ht="15.75" customHeight="1">
      <c r="G308" s="32"/>
    </row>
    <row r="309" ht="15.75" customHeight="1">
      <c r="G309" s="32"/>
    </row>
    <row r="310" ht="15.75" customHeight="1">
      <c r="G310" s="32"/>
    </row>
    <row r="311" ht="15.75" customHeight="1">
      <c r="G311" s="32"/>
    </row>
    <row r="312" ht="15.75" customHeight="1">
      <c r="G312" s="32"/>
    </row>
    <row r="313" ht="15.75" customHeight="1">
      <c r="G313" s="32"/>
    </row>
    <row r="314" ht="15.75" customHeight="1">
      <c r="G314" s="32"/>
    </row>
    <row r="315" ht="15.75" customHeight="1">
      <c r="G315" s="32"/>
    </row>
    <row r="316" ht="15.75" customHeight="1">
      <c r="G316" s="32"/>
    </row>
    <row r="317" ht="15.75" customHeight="1">
      <c r="G317" s="32"/>
    </row>
    <row r="318" ht="15.75" customHeight="1">
      <c r="G318" s="32"/>
    </row>
    <row r="319" ht="15.75" customHeight="1">
      <c r="G319" s="32"/>
    </row>
    <row r="320" ht="15.75" customHeight="1">
      <c r="G320" s="32"/>
    </row>
    <row r="321" ht="15.75" customHeight="1">
      <c r="G321" s="32"/>
    </row>
    <row r="322" ht="15.75" customHeight="1">
      <c r="G322" s="32"/>
    </row>
    <row r="323" ht="15.75" customHeight="1">
      <c r="G323" s="32"/>
    </row>
    <row r="324" ht="15.75" customHeight="1">
      <c r="G324" s="32"/>
    </row>
    <row r="325" ht="15.75" customHeight="1">
      <c r="G325" s="32"/>
    </row>
    <row r="326" ht="15.75" customHeight="1">
      <c r="G326" s="32"/>
    </row>
    <row r="327" ht="15.75" customHeight="1">
      <c r="G327" s="32"/>
    </row>
    <row r="328" ht="15.75" customHeight="1">
      <c r="G328" s="32"/>
    </row>
    <row r="329" ht="15.75" customHeight="1">
      <c r="G329" s="32"/>
    </row>
    <row r="330" ht="15.75" customHeight="1">
      <c r="G330" s="32"/>
    </row>
    <row r="331" ht="15.75" customHeight="1">
      <c r="G331" s="32"/>
    </row>
    <row r="332" ht="15.75" customHeight="1">
      <c r="G332" s="32"/>
    </row>
    <row r="333" ht="15.75" customHeight="1">
      <c r="G333" s="32"/>
    </row>
    <row r="334" ht="15.75" customHeight="1">
      <c r="G334" s="32"/>
    </row>
    <row r="335" ht="15.75" customHeight="1">
      <c r="G335" s="32"/>
    </row>
    <row r="336" ht="15.75" customHeight="1">
      <c r="G336" s="32"/>
    </row>
    <row r="337" ht="15.75" customHeight="1">
      <c r="G337" s="32"/>
    </row>
    <row r="338" ht="15.75" customHeight="1">
      <c r="G338" s="32"/>
    </row>
    <row r="339" ht="15.75" customHeight="1">
      <c r="G339" s="32"/>
    </row>
    <row r="340" ht="15.75" customHeight="1">
      <c r="G340" s="32"/>
    </row>
    <row r="341" ht="15.75" customHeight="1">
      <c r="G341" s="32"/>
    </row>
    <row r="342" ht="15.75" customHeight="1">
      <c r="G342" s="32"/>
    </row>
    <row r="343" ht="15.75" customHeight="1">
      <c r="G343" s="32"/>
    </row>
    <row r="344" ht="15.75" customHeight="1">
      <c r="G344" s="32"/>
    </row>
    <row r="345" ht="15.75" customHeight="1">
      <c r="G345" s="32"/>
    </row>
    <row r="346" ht="15.75" customHeight="1">
      <c r="G346" s="32"/>
    </row>
    <row r="347" ht="15.75" customHeight="1">
      <c r="G347" s="32"/>
    </row>
    <row r="348" ht="15.75" customHeight="1">
      <c r="G348" s="32"/>
    </row>
    <row r="349" ht="15.75" customHeight="1">
      <c r="G349" s="32"/>
    </row>
    <row r="350" ht="15.75" customHeight="1">
      <c r="G350" s="32"/>
    </row>
    <row r="351" ht="15.75" customHeight="1">
      <c r="G351" s="32"/>
    </row>
    <row r="352" ht="15.75" customHeight="1">
      <c r="G352" s="32"/>
    </row>
    <row r="353" ht="15.75" customHeight="1">
      <c r="G353" s="32"/>
    </row>
    <row r="354" ht="15.75" customHeight="1">
      <c r="G354" s="32"/>
    </row>
    <row r="355" ht="15.75" customHeight="1">
      <c r="G355" s="32"/>
    </row>
    <row r="356" ht="15.75" customHeight="1">
      <c r="G356" s="32"/>
    </row>
    <row r="357" ht="15.75" customHeight="1">
      <c r="G357" s="32"/>
    </row>
    <row r="358" ht="15.75" customHeight="1">
      <c r="G358" s="32"/>
    </row>
    <row r="359" ht="15.75" customHeight="1">
      <c r="G359" s="32"/>
    </row>
    <row r="360" ht="15.75" customHeight="1">
      <c r="G360" s="32"/>
    </row>
    <row r="361" ht="15.75" customHeight="1">
      <c r="G361" s="32"/>
    </row>
    <row r="362" ht="15.75" customHeight="1">
      <c r="G362" s="32"/>
    </row>
    <row r="363" ht="15.75" customHeight="1">
      <c r="G363" s="32"/>
    </row>
    <row r="364" ht="15.75" customHeight="1">
      <c r="G364" s="32"/>
    </row>
    <row r="365" ht="15.75" customHeight="1">
      <c r="G365" s="32"/>
    </row>
    <row r="366" ht="15.75" customHeight="1">
      <c r="G366" s="32"/>
    </row>
    <row r="367" ht="15.75" customHeight="1">
      <c r="G367" s="32"/>
    </row>
    <row r="368" ht="15.75" customHeight="1">
      <c r="G368" s="32"/>
    </row>
    <row r="369" ht="15.75" customHeight="1">
      <c r="G369" s="32"/>
    </row>
    <row r="370" ht="15.75" customHeight="1">
      <c r="G370" s="32"/>
    </row>
    <row r="371" ht="15.75" customHeight="1">
      <c r="G371" s="32"/>
    </row>
    <row r="372" ht="15.75" customHeight="1">
      <c r="G372" s="32"/>
    </row>
    <row r="373" ht="15.75" customHeight="1">
      <c r="G373" s="32"/>
    </row>
    <row r="374" ht="15.75" customHeight="1">
      <c r="G374" s="32"/>
    </row>
    <row r="375" ht="15.75" customHeight="1">
      <c r="G375" s="32"/>
    </row>
    <row r="376" ht="15.75" customHeight="1">
      <c r="G376" s="32"/>
    </row>
    <row r="377" ht="15.75" customHeight="1">
      <c r="G377" s="32"/>
    </row>
    <row r="378" ht="15.75" customHeight="1">
      <c r="G378" s="32"/>
    </row>
    <row r="379" ht="15.75" customHeight="1">
      <c r="G379" s="32"/>
    </row>
    <row r="380" ht="15.75" customHeight="1">
      <c r="G380" s="32"/>
    </row>
    <row r="381" ht="15.75" customHeight="1">
      <c r="G381" s="32"/>
    </row>
    <row r="382" ht="15.75" customHeight="1">
      <c r="G382" s="32"/>
    </row>
    <row r="383" ht="15.75" customHeight="1">
      <c r="G383" s="32"/>
    </row>
    <row r="384" ht="15.75" customHeight="1">
      <c r="G384" s="32"/>
    </row>
    <row r="385" ht="15.75" customHeight="1">
      <c r="G385" s="32"/>
    </row>
    <row r="386" ht="15.75" customHeight="1">
      <c r="G386" s="32"/>
    </row>
    <row r="387" ht="15.75" customHeight="1">
      <c r="G387" s="32"/>
    </row>
    <row r="388" ht="15.75" customHeight="1">
      <c r="G388" s="32"/>
    </row>
    <row r="389" ht="15.75" customHeight="1">
      <c r="G389" s="32"/>
    </row>
    <row r="390" ht="15.75" customHeight="1">
      <c r="G390" s="32"/>
    </row>
    <row r="391" ht="15.75" customHeight="1">
      <c r="G391" s="32"/>
    </row>
    <row r="392" ht="15.75" customHeight="1">
      <c r="G392" s="32"/>
    </row>
    <row r="393" ht="15.75" customHeight="1">
      <c r="G393" s="32"/>
    </row>
    <row r="394" ht="15.75" customHeight="1">
      <c r="G394" s="32"/>
    </row>
    <row r="395" ht="15.75" customHeight="1">
      <c r="G395" s="32"/>
    </row>
    <row r="396" ht="15.75" customHeight="1">
      <c r="G396" s="32"/>
    </row>
    <row r="397" ht="15.75" customHeight="1">
      <c r="G397" s="32"/>
    </row>
    <row r="398" ht="15.75" customHeight="1">
      <c r="G398" s="32"/>
    </row>
    <row r="399" ht="15.75" customHeight="1">
      <c r="G399" s="32"/>
    </row>
    <row r="400" ht="15.75" customHeight="1">
      <c r="G400" s="32"/>
    </row>
    <row r="401" ht="15.75" customHeight="1">
      <c r="G401" s="32"/>
    </row>
    <row r="402" ht="15.75" customHeight="1">
      <c r="G402" s="32"/>
    </row>
    <row r="403" ht="15.75" customHeight="1">
      <c r="G403" s="32"/>
    </row>
    <row r="404" ht="15.75" customHeight="1">
      <c r="G404" s="32"/>
    </row>
    <row r="405" ht="15.75" customHeight="1">
      <c r="G405" s="32"/>
    </row>
    <row r="406" ht="15.75" customHeight="1">
      <c r="G406" s="32"/>
    </row>
    <row r="407" ht="15.75" customHeight="1">
      <c r="G407" s="32"/>
    </row>
    <row r="408" ht="15.75" customHeight="1">
      <c r="G408" s="32"/>
    </row>
    <row r="409" ht="15.75" customHeight="1">
      <c r="G409" s="32"/>
    </row>
    <row r="410" ht="15.75" customHeight="1">
      <c r="G410" s="32"/>
    </row>
    <row r="411" ht="15.75" customHeight="1">
      <c r="G411" s="32"/>
    </row>
    <row r="412" ht="15.75" customHeight="1">
      <c r="G412" s="32"/>
    </row>
    <row r="413" ht="15.75" customHeight="1">
      <c r="G413" s="32"/>
    </row>
    <row r="414" ht="15.75" customHeight="1">
      <c r="G414" s="32"/>
    </row>
    <row r="415" ht="15.75" customHeight="1">
      <c r="G415" s="32"/>
    </row>
    <row r="416" ht="15.75" customHeight="1">
      <c r="G416" s="32"/>
    </row>
    <row r="417" ht="15.75" customHeight="1">
      <c r="G417" s="32"/>
    </row>
    <row r="418" ht="15.75" customHeight="1">
      <c r="G418" s="32"/>
    </row>
    <row r="419" ht="15.75" customHeight="1">
      <c r="G419" s="32"/>
    </row>
    <row r="420" ht="15.75" customHeight="1">
      <c r="G420" s="32"/>
    </row>
    <row r="421" ht="15.75" customHeight="1">
      <c r="G421" s="32"/>
    </row>
    <row r="422" ht="15.75" customHeight="1">
      <c r="G422" s="32"/>
    </row>
    <row r="423" ht="15.75" customHeight="1">
      <c r="G423" s="32"/>
    </row>
    <row r="424" ht="15.75" customHeight="1">
      <c r="G424" s="32"/>
    </row>
    <row r="425" ht="15.75" customHeight="1">
      <c r="G425" s="32"/>
    </row>
    <row r="426" ht="15.75" customHeight="1">
      <c r="G426" s="32"/>
    </row>
    <row r="427" ht="15.75" customHeight="1">
      <c r="G427" s="32"/>
    </row>
    <row r="428" ht="15.75" customHeight="1">
      <c r="G428" s="32"/>
    </row>
    <row r="429" ht="15.75" customHeight="1">
      <c r="G429" s="32"/>
    </row>
    <row r="430" ht="15.75" customHeight="1">
      <c r="G430" s="32"/>
    </row>
    <row r="431" ht="15.75" customHeight="1">
      <c r="G431" s="32"/>
    </row>
    <row r="432" ht="15.75" customHeight="1">
      <c r="G432" s="32"/>
    </row>
    <row r="433" ht="15.75" customHeight="1">
      <c r="G433" s="32"/>
    </row>
    <row r="434" ht="15.75" customHeight="1">
      <c r="G434" s="32"/>
    </row>
    <row r="435" ht="15.75" customHeight="1">
      <c r="G435" s="32"/>
    </row>
    <row r="436" ht="15.75" customHeight="1">
      <c r="G436" s="32"/>
    </row>
    <row r="437" ht="15.75" customHeight="1">
      <c r="G437" s="32"/>
    </row>
    <row r="438" ht="15.75" customHeight="1">
      <c r="G438" s="32"/>
    </row>
    <row r="439" ht="15.75" customHeight="1">
      <c r="G439" s="32"/>
    </row>
    <row r="440" ht="15.75" customHeight="1">
      <c r="G440" s="32"/>
    </row>
    <row r="441" ht="15.75" customHeight="1">
      <c r="G441" s="32"/>
    </row>
    <row r="442" ht="15.75" customHeight="1">
      <c r="G442" s="32"/>
    </row>
    <row r="443" ht="15.75" customHeight="1">
      <c r="G443" s="32"/>
    </row>
    <row r="444" ht="15.75" customHeight="1">
      <c r="G444" s="32"/>
    </row>
    <row r="445" ht="15.75" customHeight="1">
      <c r="G445" s="32"/>
    </row>
    <row r="446" ht="15.75" customHeight="1">
      <c r="G446" s="32"/>
    </row>
    <row r="447" ht="15.75" customHeight="1">
      <c r="G447" s="32"/>
    </row>
    <row r="448" ht="15.75" customHeight="1">
      <c r="G448" s="32"/>
    </row>
    <row r="449" ht="15.75" customHeight="1">
      <c r="G449" s="32"/>
    </row>
    <row r="450" ht="15.75" customHeight="1">
      <c r="G450" s="32"/>
    </row>
    <row r="451" ht="15.75" customHeight="1">
      <c r="G451" s="32"/>
    </row>
    <row r="452" ht="15.75" customHeight="1">
      <c r="G452" s="32"/>
    </row>
    <row r="453" ht="15.75" customHeight="1">
      <c r="G453" s="32"/>
    </row>
    <row r="454" ht="15.75" customHeight="1">
      <c r="G454" s="32"/>
    </row>
    <row r="455" ht="15.75" customHeight="1">
      <c r="G455" s="32"/>
    </row>
    <row r="456" ht="15.75" customHeight="1">
      <c r="G456" s="32"/>
    </row>
    <row r="457" ht="15.75" customHeight="1">
      <c r="G457" s="32"/>
    </row>
    <row r="458" ht="15.75" customHeight="1">
      <c r="G458" s="32"/>
    </row>
    <row r="459" ht="15.75" customHeight="1">
      <c r="G459" s="32"/>
    </row>
    <row r="460" ht="15.75" customHeight="1">
      <c r="G460" s="32"/>
    </row>
    <row r="461" ht="15.75" customHeight="1">
      <c r="G461" s="32"/>
    </row>
    <row r="462" ht="15.75" customHeight="1">
      <c r="G462" s="32"/>
    </row>
    <row r="463" ht="15.75" customHeight="1">
      <c r="G463" s="32"/>
    </row>
    <row r="464" ht="15.75" customHeight="1">
      <c r="G464" s="32"/>
    </row>
    <row r="465" ht="15.75" customHeight="1">
      <c r="G465" s="32"/>
    </row>
    <row r="466" ht="15.75" customHeight="1">
      <c r="G466" s="32"/>
    </row>
    <row r="467" ht="15.75" customHeight="1">
      <c r="G467" s="32"/>
    </row>
    <row r="468" ht="15.75" customHeight="1">
      <c r="G468" s="32"/>
    </row>
    <row r="469" ht="15.75" customHeight="1">
      <c r="G469" s="32"/>
    </row>
    <row r="470" ht="15.75" customHeight="1">
      <c r="G470" s="32"/>
    </row>
    <row r="471" ht="15.75" customHeight="1">
      <c r="G471" s="32"/>
    </row>
    <row r="472" ht="15.75" customHeight="1">
      <c r="G472" s="32"/>
    </row>
    <row r="473" ht="15.75" customHeight="1">
      <c r="G473" s="32"/>
    </row>
    <row r="474" ht="15.75" customHeight="1">
      <c r="G474" s="32"/>
    </row>
    <row r="475" ht="15.75" customHeight="1">
      <c r="G475" s="32"/>
    </row>
    <row r="476" ht="15.75" customHeight="1">
      <c r="G476" s="32"/>
    </row>
    <row r="477" ht="15.75" customHeight="1">
      <c r="G477" s="32"/>
    </row>
    <row r="478" ht="15.75" customHeight="1">
      <c r="G478" s="32"/>
    </row>
    <row r="479" ht="15.75" customHeight="1">
      <c r="G479" s="32"/>
    </row>
    <row r="480" ht="15.75" customHeight="1">
      <c r="G480" s="32"/>
    </row>
    <row r="481" ht="15.75" customHeight="1">
      <c r="G481" s="32"/>
    </row>
    <row r="482" ht="15.75" customHeight="1">
      <c r="G482" s="32"/>
    </row>
    <row r="483" ht="15.75" customHeight="1">
      <c r="G483" s="32"/>
    </row>
    <row r="484" ht="15.75" customHeight="1">
      <c r="G484" s="32"/>
    </row>
    <row r="485" ht="15.75" customHeight="1">
      <c r="G485" s="32"/>
    </row>
    <row r="486" ht="15.75" customHeight="1">
      <c r="G486" s="32"/>
    </row>
    <row r="487" ht="15.75" customHeight="1">
      <c r="G487" s="32"/>
    </row>
    <row r="488" ht="15.75" customHeight="1">
      <c r="G488" s="32"/>
    </row>
    <row r="489" ht="15.75" customHeight="1">
      <c r="G489" s="32"/>
    </row>
    <row r="490" ht="15.75" customHeight="1">
      <c r="G490" s="32"/>
    </row>
    <row r="491" ht="15.75" customHeight="1">
      <c r="G491" s="32"/>
    </row>
    <row r="492" ht="15.75" customHeight="1">
      <c r="G492" s="32"/>
    </row>
    <row r="493" ht="15.75" customHeight="1">
      <c r="G493" s="32"/>
    </row>
    <row r="494" ht="15.75" customHeight="1">
      <c r="G494" s="32"/>
    </row>
    <row r="495" ht="15.75" customHeight="1">
      <c r="G495" s="32"/>
    </row>
    <row r="496" ht="15.75" customHeight="1">
      <c r="G496" s="32"/>
    </row>
    <row r="497" ht="15.75" customHeight="1">
      <c r="G497" s="32"/>
    </row>
    <row r="498" ht="15.75" customHeight="1">
      <c r="G498" s="32"/>
    </row>
    <row r="499" ht="15.75" customHeight="1">
      <c r="G499" s="32"/>
    </row>
    <row r="500" ht="15.75" customHeight="1">
      <c r="G500" s="32"/>
    </row>
    <row r="501" ht="15.75" customHeight="1">
      <c r="G501" s="32"/>
    </row>
    <row r="502" ht="15.75" customHeight="1">
      <c r="G502" s="32"/>
    </row>
    <row r="503" ht="15.75" customHeight="1">
      <c r="G503" s="32"/>
    </row>
    <row r="504" ht="15.75" customHeight="1">
      <c r="G504" s="32"/>
    </row>
    <row r="505" ht="15.75" customHeight="1">
      <c r="G505" s="32"/>
    </row>
    <row r="506" ht="15.75" customHeight="1">
      <c r="G506" s="32"/>
    </row>
    <row r="507" ht="15.75" customHeight="1">
      <c r="G507" s="32"/>
    </row>
    <row r="508" ht="15.75" customHeight="1">
      <c r="G508" s="32"/>
    </row>
    <row r="509" ht="15.75" customHeight="1">
      <c r="G509" s="32"/>
    </row>
    <row r="510" ht="15.75" customHeight="1">
      <c r="G510" s="32"/>
    </row>
    <row r="511" ht="15.75" customHeight="1">
      <c r="G511" s="32"/>
    </row>
    <row r="512" ht="15.75" customHeight="1">
      <c r="G512" s="32"/>
    </row>
    <row r="513" ht="15.75" customHeight="1">
      <c r="G513" s="32"/>
    </row>
    <row r="514" ht="15.75" customHeight="1">
      <c r="G514" s="32"/>
    </row>
    <row r="515" ht="15.75" customHeight="1">
      <c r="G515" s="32"/>
    </row>
    <row r="516" ht="15.75" customHeight="1">
      <c r="G516" s="32"/>
    </row>
    <row r="517" ht="15.75" customHeight="1">
      <c r="G517" s="32"/>
    </row>
    <row r="518" ht="15.75" customHeight="1">
      <c r="G518" s="32"/>
    </row>
    <row r="519" ht="15.75" customHeight="1">
      <c r="G519" s="32"/>
    </row>
    <row r="520" ht="15.75" customHeight="1">
      <c r="G520" s="32"/>
    </row>
    <row r="521" ht="15.75" customHeight="1">
      <c r="G521" s="32"/>
    </row>
    <row r="522" ht="15.75" customHeight="1">
      <c r="G522" s="32"/>
    </row>
    <row r="523" ht="15.75" customHeight="1">
      <c r="G523" s="32"/>
    </row>
    <row r="524" ht="15.75" customHeight="1">
      <c r="G524" s="32"/>
    </row>
    <row r="525" ht="15.75" customHeight="1">
      <c r="G525" s="32"/>
    </row>
    <row r="526" ht="15.75" customHeight="1">
      <c r="G526" s="32"/>
    </row>
    <row r="527" ht="15.75" customHeight="1">
      <c r="G527" s="32"/>
    </row>
    <row r="528" ht="15.75" customHeight="1">
      <c r="G528" s="32"/>
    </row>
    <row r="529" ht="15.75" customHeight="1">
      <c r="G529" s="32"/>
    </row>
    <row r="530" ht="15.75" customHeight="1">
      <c r="G530" s="32"/>
    </row>
    <row r="531" ht="15.75" customHeight="1">
      <c r="G531" s="32"/>
    </row>
    <row r="532" ht="15.75" customHeight="1">
      <c r="G532" s="32"/>
    </row>
    <row r="533" ht="15.75" customHeight="1">
      <c r="G533" s="32"/>
    </row>
    <row r="534" ht="15.75" customHeight="1">
      <c r="G534" s="32"/>
    </row>
    <row r="535" ht="15.75" customHeight="1">
      <c r="G535" s="32"/>
    </row>
    <row r="536" ht="15.75" customHeight="1">
      <c r="G536" s="32"/>
    </row>
    <row r="537" ht="15.75" customHeight="1">
      <c r="G537" s="32"/>
    </row>
    <row r="538" ht="15.75" customHeight="1">
      <c r="G538" s="32"/>
    </row>
    <row r="539" ht="15.75" customHeight="1">
      <c r="G539" s="32"/>
    </row>
    <row r="540" ht="15.75" customHeight="1">
      <c r="G540" s="32"/>
    </row>
    <row r="541" ht="15.75" customHeight="1">
      <c r="G541" s="32"/>
    </row>
    <row r="542" ht="15.75" customHeight="1">
      <c r="G542" s="32"/>
    </row>
    <row r="543" ht="15.75" customHeight="1">
      <c r="G543" s="32"/>
    </row>
    <row r="544" ht="15.75" customHeight="1">
      <c r="G544" s="32"/>
    </row>
    <row r="545" ht="15.75" customHeight="1">
      <c r="G545" s="32"/>
    </row>
    <row r="546" ht="15.75" customHeight="1">
      <c r="G546" s="32"/>
    </row>
    <row r="547" ht="15.75" customHeight="1">
      <c r="G547" s="32"/>
    </row>
    <row r="548" ht="15.75" customHeight="1">
      <c r="G548" s="32"/>
    </row>
    <row r="549" ht="15.75" customHeight="1">
      <c r="G549" s="32"/>
    </row>
    <row r="550" ht="15.75" customHeight="1">
      <c r="G550" s="32"/>
    </row>
    <row r="551" ht="15.75" customHeight="1">
      <c r="G551" s="32"/>
    </row>
    <row r="552" ht="15.75" customHeight="1">
      <c r="G552" s="32"/>
    </row>
    <row r="553" ht="15.75" customHeight="1">
      <c r="G553" s="32"/>
    </row>
    <row r="554" ht="15.75" customHeight="1">
      <c r="G554" s="32"/>
    </row>
    <row r="555" ht="15.75" customHeight="1">
      <c r="G555" s="32"/>
    </row>
    <row r="556" ht="15.75" customHeight="1">
      <c r="G556" s="32"/>
    </row>
    <row r="557" ht="15.75" customHeight="1">
      <c r="G557" s="32"/>
    </row>
    <row r="558" ht="15.75" customHeight="1">
      <c r="G558" s="32"/>
    </row>
    <row r="559" ht="15.75" customHeight="1">
      <c r="G559" s="32"/>
    </row>
    <row r="560" ht="15.75" customHeight="1">
      <c r="G560" s="32"/>
    </row>
    <row r="561" ht="15.75" customHeight="1">
      <c r="G561" s="32"/>
    </row>
    <row r="562" ht="15.75" customHeight="1">
      <c r="G562" s="32"/>
    </row>
    <row r="563" ht="15.75" customHeight="1">
      <c r="G563" s="32"/>
    </row>
    <row r="564" ht="15.75" customHeight="1">
      <c r="G564" s="32"/>
    </row>
    <row r="565" ht="15.75" customHeight="1">
      <c r="G565" s="32"/>
    </row>
    <row r="566" ht="15.75" customHeight="1">
      <c r="G566" s="32"/>
    </row>
    <row r="567" ht="15.75" customHeight="1">
      <c r="G567" s="32"/>
    </row>
    <row r="568" ht="15.75" customHeight="1">
      <c r="G568" s="32"/>
    </row>
    <row r="569" ht="15.75" customHeight="1">
      <c r="G569" s="32"/>
    </row>
    <row r="570" ht="15.75" customHeight="1">
      <c r="G570" s="32"/>
    </row>
    <row r="571" ht="15.75" customHeight="1">
      <c r="G571" s="32"/>
    </row>
    <row r="572" ht="15.75" customHeight="1">
      <c r="G572" s="32"/>
    </row>
    <row r="573" ht="15.75" customHeight="1">
      <c r="G573" s="32"/>
    </row>
    <row r="574" ht="15.75" customHeight="1">
      <c r="G574" s="32"/>
    </row>
    <row r="575" ht="15.75" customHeight="1">
      <c r="G575" s="32"/>
    </row>
    <row r="576" ht="15.75" customHeight="1">
      <c r="G576" s="32"/>
    </row>
    <row r="577" ht="15.75" customHeight="1">
      <c r="G577" s="32"/>
    </row>
    <row r="578" ht="15.75" customHeight="1">
      <c r="G578" s="32"/>
    </row>
    <row r="579" ht="15.75" customHeight="1">
      <c r="G579" s="32"/>
    </row>
    <row r="580" ht="15.75" customHeight="1">
      <c r="G580" s="32"/>
    </row>
    <row r="581" ht="15.75" customHeight="1">
      <c r="G581" s="32"/>
    </row>
    <row r="582" ht="15.75" customHeight="1">
      <c r="G582" s="32"/>
    </row>
    <row r="583" ht="15.75" customHeight="1">
      <c r="G583" s="32"/>
    </row>
    <row r="584" ht="15.75" customHeight="1">
      <c r="G584" s="32"/>
    </row>
    <row r="585" ht="15.75" customHeight="1">
      <c r="G585" s="32"/>
    </row>
    <row r="586" ht="15.75" customHeight="1">
      <c r="G586" s="32"/>
    </row>
    <row r="587" ht="15.75" customHeight="1">
      <c r="G587" s="32"/>
    </row>
    <row r="588" ht="15.75" customHeight="1">
      <c r="G588" s="32"/>
    </row>
    <row r="589" ht="15.75" customHeight="1">
      <c r="G589" s="32"/>
    </row>
    <row r="590" ht="15.75" customHeight="1">
      <c r="G590" s="32"/>
    </row>
    <row r="591" ht="15.75" customHeight="1">
      <c r="G591" s="32"/>
    </row>
    <row r="592" ht="15.75" customHeight="1">
      <c r="G592" s="32"/>
    </row>
    <row r="593" ht="15.75" customHeight="1">
      <c r="G593" s="32"/>
    </row>
    <row r="594" ht="15.75" customHeight="1">
      <c r="G594" s="32"/>
    </row>
    <row r="595" ht="15.75" customHeight="1">
      <c r="G595" s="32"/>
    </row>
    <row r="596" ht="15.75" customHeight="1">
      <c r="G596" s="32"/>
    </row>
    <row r="597" ht="15.75" customHeight="1">
      <c r="G597" s="32"/>
    </row>
    <row r="598" ht="15.75" customHeight="1">
      <c r="G598" s="32"/>
    </row>
    <row r="599" ht="15.75" customHeight="1">
      <c r="G599" s="32"/>
    </row>
    <row r="600" ht="15.75" customHeight="1">
      <c r="G600" s="32"/>
    </row>
    <row r="601" ht="15.75" customHeight="1">
      <c r="G601" s="32"/>
    </row>
    <row r="602" ht="15.75" customHeight="1">
      <c r="G602" s="32"/>
    </row>
    <row r="603" ht="15.75" customHeight="1">
      <c r="G603" s="32"/>
    </row>
    <row r="604" ht="15.75" customHeight="1">
      <c r="G604" s="32"/>
    </row>
    <row r="605" ht="15.75" customHeight="1">
      <c r="G605" s="32"/>
    </row>
    <row r="606" ht="15.75" customHeight="1">
      <c r="G606" s="32"/>
    </row>
    <row r="607" ht="15.75" customHeight="1">
      <c r="G607" s="32"/>
    </row>
    <row r="608" ht="15.75" customHeight="1">
      <c r="G608" s="32"/>
    </row>
    <row r="609" ht="15.75" customHeight="1">
      <c r="G609" s="32"/>
    </row>
    <row r="610" ht="15.75" customHeight="1">
      <c r="G610" s="32"/>
    </row>
    <row r="611" ht="15.75" customHeight="1">
      <c r="G611" s="32"/>
    </row>
    <row r="612" ht="15.75" customHeight="1">
      <c r="G612" s="32"/>
    </row>
    <row r="613" ht="15.75" customHeight="1">
      <c r="G613" s="32"/>
    </row>
    <row r="614" ht="15.75" customHeight="1">
      <c r="G614" s="32"/>
    </row>
    <row r="615" ht="15.75" customHeight="1">
      <c r="G615" s="32"/>
    </row>
    <row r="616" ht="15.75" customHeight="1">
      <c r="G616" s="32"/>
    </row>
    <row r="617" ht="15.75" customHeight="1">
      <c r="G617" s="32"/>
    </row>
    <row r="618" ht="15.75" customHeight="1">
      <c r="G618" s="32"/>
    </row>
    <row r="619" ht="15.75" customHeight="1">
      <c r="G619" s="32"/>
    </row>
    <row r="620" ht="15.75" customHeight="1">
      <c r="G620" s="32"/>
    </row>
    <row r="621" ht="15.75" customHeight="1">
      <c r="G621" s="32"/>
    </row>
    <row r="622" ht="15.75" customHeight="1">
      <c r="G622" s="32"/>
    </row>
    <row r="623" ht="15.75" customHeight="1">
      <c r="G623" s="32"/>
    </row>
    <row r="624" ht="15.75" customHeight="1">
      <c r="G624" s="32"/>
    </row>
    <row r="625" ht="15.75" customHeight="1">
      <c r="G625" s="32"/>
    </row>
    <row r="626" ht="15.75" customHeight="1">
      <c r="G626" s="32"/>
    </row>
    <row r="627" ht="15.75" customHeight="1">
      <c r="G627" s="32"/>
    </row>
    <row r="628" ht="15.75" customHeight="1">
      <c r="G628" s="32"/>
    </row>
    <row r="629" ht="15.75" customHeight="1">
      <c r="G629" s="32"/>
    </row>
    <row r="630" ht="15.75" customHeight="1">
      <c r="G630" s="32"/>
    </row>
    <row r="631" ht="15.75" customHeight="1">
      <c r="G631" s="32"/>
    </row>
    <row r="632" ht="15.75" customHeight="1">
      <c r="G632" s="32"/>
    </row>
    <row r="633" ht="15.75" customHeight="1">
      <c r="G633" s="32"/>
    </row>
    <row r="634" ht="15.75" customHeight="1">
      <c r="G634" s="32"/>
    </row>
    <row r="635" ht="15.75" customHeight="1">
      <c r="G635" s="32"/>
    </row>
    <row r="636" ht="15.75" customHeight="1">
      <c r="G636" s="32"/>
    </row>
    <row r="637" ht="15.75" customHeight="1">
      <c r="G637" s="32"/>
    </row>
    <row r="638" ht="15.75" customHeight="1">
      <c r="G638" s="32"/>
    </row>
    <row r="639" ht="15.75" customHeight="1">
      <c r="G639" s="32"/>
    </row>
    <row r="640" ht="15.75" customHeight="1">
      <c r="G640" s="32"/>
    </row>
    <row r="641" ht="15.75" customHeight="1">
      <c r="G641" s="32"/>
    </row>
    <row r="642" ht="15.75" customHeight="1">
      <c r="G642" s="32"/>
    </row>
    <row r="643" ht="15.75" customHeight="1">
      <c r="G643" s="32"/>
    </row>
    <row r="644" ht="15.75" customHeight="1">
      <c r="G644" s="32"/>
    </row>
    <row r="645" ht="15.75" customHeight="1">
      <c r="G645" s="32"/>
    </row>
    <row r="646" ht="15.75" customHeight="1">
      <c r="G646" s="32"/>
    </row>
    <row r="647" ht="15.75" customHeight="1">
      <c r="G647" s="32"/>
    </row>
    <row r="648" ht="15.75" customHeight="1">
      <c r="G648" s="32"/>
    </row>
    <row r="649" ht="15.75" customHeight="1">
      <c r="G649" s="32"/>
    </row>
    <row r="650" ht="15.75" customHeight="1">
      <c r="G650" s="32"/>
    </row>
    <row r="651" ht="15.75" customHeight="1">
      <c r="G651" s="32"/>
    </row>
    <row r="652" ht="15.75" customHeight="1">
      <c r="G652" s="32"/>
    </row>
    <row r="653" ht="15.75" customHeight="1">
      <c r="G653" s="32"/>
    </row>
    <row r="654" ht="15.75" customHeight="1">
      <c r="G654" s="32"/>
    </row>
    <row r="655" ht="15.75" customHeight="1">
      <c r="G655" s="32"/>
    </row>
    <row r="656" ht="15.75" customHeight="1">
      <c r="G656" s="32"/>
    </row>
    <row r="657" ht="15.75" customHeight="1">
      <c r="G657" s="32"/>
    </row>
    <row r="658" ht="15.75" customHeight="1">
      <c r="G658" s="32"/>
    </row>
    <row r="659" ht="15.75" customHeight="1">
      <c r="G659" s="32"/>
    </row>
    <row r="660" ht="15.75" customHeight="1">
      <c r="G660" s="32"/>
    </row>
    <row r="661" ht="15.75" customHeight="1">
      <c r="G661" s="32"/>
    </row>
    <row r="662" ht="15.75" customHeight="1">
      <c r="G662" s="32"/>
    </row>
    <row r="663" ht="15.75" customHeight="1">
      <c r="G663" s="32"/>
    </row>
    <row r="664" ht="15.75" customHeight="1">
      <c r="G664" s="32"/>
    </row>
    <row r="665" ht="15.75" customHeight="1">
      <c r="G665" s="32"/>
    </row>
    <row r="666" ht="15.75" customHeight="1">
      <c r="G666" s="32"/>
    </row>
    <row r="667" ht="15.75" customHeight="1">
      <c r="G667" s="32"/>
    </row>
    <row r="668" ht="15.75" customHeight="1">
      <c r="G668" s="32"/>
    </row>
    <row r="669" ht="15.75" customHeight="1">
      <c r="G669" s="32"/>
    </row>
    <row r="670" ht="15.75" customHeight="1">
      <c r="G670" s="32"/>
    </row>
    <row r="671" ht="15.75" customHeight="1">
      <c r="G671" s="32"/>
    </row>
    <row r="672" ht="15.75" customHeight="1">
      <c r="G672" s="32"/>
    </row>
    <row r="673" ht="15.75" customHeight="1">
      <c r="G673" s="32"/>
    </row>
    <row r="674" ht="15.75" customHeight="1">
      <c r="G674" s="32"/>
    </row>
    <row r="675" ht="15.75" customHeight="1">
      <c r="G675" s="32"/>
    </row>
    <row r="676" ht="15.75" customHeight="1">
      <c r="G676" s="32"/>
    </row>
    <row r="677" ht="15.75" customHeight="1">
      <c r="G677" s="32"/>
    </row>
    <row r="678" ht="15.75" customHeight="1">
      <c r="G678" s="32"/>
    </row>
    <row r="679" ht="15.75" customHeight="1">
      <c r="G679" s="32"/>
    </row>
    <row r="680" ht="15.75" customHeight="1">
      <c r="G680" s="32"/>
    </row>
    <row r="681" ht="15.75" customHeight="1">
      <c r="G681" s="32"/>
    </row>
    <row r="682" ht="15.75" customHeight="1">
      <c r="G682" s="32"/>
    </row>
    <row r="683" ht="15.75" customHeight="1">
      <c r="G683" s="32"/>
    </row>
    <row r="684" ht="15.75" customHeight="1">
      <c r="G684" s="32"/>
    </row>
    <row r="685" ht="15.75" customHeight="1">
      <c r="G685" s="32"/>
    </row>
    <row r="686" ht="15.75" customHeight="1">
      <c r="G686" s="32"/>
    </row>
    <row r="687" ht="15.75" customHeight="1">
      <c r="G687" s="32"/>
    </row>
    <row r="688" ht="15.75" customHeight="1">
      <c r="G688" s="32"/>
    </row>
    <row r="689" ht="15.75" customHeight="1">
      <c r="G689" s="32"/>
    </row>
    <row r="690" ht="15.75" customHeight="1">
      <c r="G690" s="32"/>
    </row>
    <row r="691" ht="15.75" customHeight="1">
      <c r="G691" s="32"/>
    </row>
    <row r="692" ht="15.75" customHeight="1">
      <c r="G692" s="32"/>
    </row>
    <row r="693" ht="15.75" customHeight="1">
      <c r="G693" s="32"/>
    </row>
    <row r="694" ht="15.75" customHeight="1">
      <c r="G694" s="32"/>
    </row>
    <row r="695" ht="15.75" customHeight="1">
      <c r="G695" s="32"/>
    </row>
    <row r="696" ht="15.75" customHeight="1">
      <c r="G696" s="32"/>
    </row>
    <row r="697" ht="15.75" customHeight="1">
      <c r="G697" s="32"/>
    </row>
    <row r="698" ht="15.75" customHeight="1">
      <c r="G698" s="32"/>
    </row>
    <row r="699" ht="15.75" customHeight="1">
      <c r="G699" s="32"/>
    </row>
    <row r="700" ht="15.75" customHeight="1">
      <c r="G700" s="32"/>
    </row>
    <row r="701" ht="15.75" customHeight="1">
      <c r="G701" s="32"/>
    </row>
    <row r="702" ht="15.75" customHeight="1">
      <c r="G702" s="32"/>
    </row>
    <row r="703" ht="15.75" customHeight="1">
      <c r="G703" s="32"/>
    </row>
    <row r="704" ht="15.75" customHeight="1">
      <c r="G704" s="32"/>
    </row>
    <row r="705" ht="15.75" customHeight="1">
      <c r="G705" s="32"/>
    </row>
    <row r="706" ht="15.75" customHeight="1">
      <c r="G706" s="32"/>
    </row>
    <row r="707" ht="15.75" customHeight="1">
      <c r="G707" s="32"/>
    </row>
    <row r="708" ht="15.75" customHeight="1">
      <c r="G708" s="32"/>
    </row>
    <row r="709" ht="15.75" customHeight="1">
      <c r="G709" s="32"/>
    </row>
    <row r="710" ht="15.75" customHeight="1">
      <c r="G710" s="32"/>
    </row>
    <row r="711" ht="15.75" customHeight="1">
      <c r="G711" s="32"/>
    </row>
    <row r="712" ht="15.75" customHeight="1">
      <c r="G712" s="32"/>
    </row>
    <row r="713" ht="15.75" customHeight="1">
      <c r="G713" s="32"/>
    </row>
    <row r="714" ht="15.75" customHeight="1">
      <c r="G714" s="32"/>
    </row>
    <row r="715" ht="15.75" customHeight="1">
      <c r="G715" s="32"/>
    </row>
    <row r="716" ht="15.75" customHeight="1">
      <c r="G716" s="32"/>
    </row>
    <row r="717" ht="15.75" customHeight="1">
      <c r="G717" s="32"/>
    </row>
    <row r="718" ht="15.75" customHeight="1">
      <c r="G718" s="32"/>
    </row>
    <row r="719" ht="15.75" customHeight="1">
      <c r="G719" s="32"/>
    </row>
    <row r="720" ht="15.75" customHeight="1">
      <c r="G720" s="32"/>
    </row>
    <row r="721" ht="15.75" customHeight="1">
      <c r="G721" s="32"/>
    </row>
    <row r="722" ht="15.75" customHeight="1">
      <c r="G722" s="32"/>
    </row>
    <row r="723" ht="15.75" customHeight="1">
      <c r="G723" s="32"/>
    </row>
    <row r="724" ht="15.75" customHeight="1">
      <c r="G724" s="32"/>
    </row>
    <row r="725" ht="15.75" customHeight="1">
      <c r="G725" s="32"/>
    </row>
    <row r="726" ht="15.75" customHeight="1">
      <c r="G726" s="32"/>
    </row>
    <row r="727" ht="15.75" customHeight="1">
      <c r="G727" s="32"/>
    </row>
    <row r="728" ht="15.75" customHeight="1">
      <c r="G728" s="32"/>
    </row>
    <row r="729" ht="15.75" customHeight="1">
      <c r="G729" s="32"/>
    </row>
    <row r="730" ht="15.75" customHeight="1">
      <c r="G730" s="32"/>
    </row>
    <row r="731" ht="15.75" customHeight="1">
      <c r="G731" s="32"/>
    </row>
    <row r="732" ht="15.75" customHeight="1">
      <c r="G732" s="32"/>
    </row>
    <row r="733" ht="15.75" customHeight="1">
      <c r="G733" s="32"/>
    </row>
    <row r="734" ht="15.75" customHeight="1">
      <c r="G734" s="32"/>
    </row>
    <row r="735" ht="15.75" customHeight="1">
      <c r="G735" s="32"/>
    </row>
    <row r="736" ht="15.75" customHeight="1">
      <c r="G736" s="32"/>
    </row>
    <row r="737" ht="15.75" customHeight="1">
      <c r="G737" s="32"/>
    </row>
    <row r="738" ht="15.75" customHeight="1">
      <c r="G738" s="32"/>
    </row>
    <row r="739" ht="15.75" customHeight="1">
      <c r="G739" s="32"/>
    </row>
    <row r="740" ht="15.75" customHeight="1">
      <c r="G740" s="32"/>
    </row>
    <row r="741" ht="15.75" customHeight="1">
      <c r="G741" s="32"/>
    </row>
    <row r="742" ht="15.75" customHeight="1">
      <c r="G742" s="32"/>
    </row>
    <row r="743" ht="15.75" customHeight="1">
      <c r="G743" s="32"/>
    </row>
    <row r="744" ht="15.75" customHeight="1">
      <c r="G744" s="32"/>
    </row>
    <row r="745" ht="15.75" customHeight="1">
      <c r="G745" s="32"/>
    </row>
    <row r="746" ht="15.75" customHeight="1">
      <c r="G746" s="32"/>
    </row>
    <row r="747" ht="15.75" customHeight="1">
      <c r="G747" s="32"/>
    </row>
    <row r="748" ht="15.75" customHeight="1">
      <c r="G748" s="32"/>
    </row>
    <row r="749" ht="15.75" customHeight="1">
      <c r="G749" s="32"/>
    </row>
    <row r="750" ht="15.75" customHeight="1">
      <c r="G750" s="32"/>
    </row>
    <row r="751" ht="15.75" customHeight="1">
      <c r="G751" s="32"/>
    </row>
    <row r="752" ht="15.75" customHeight="1">
      <c r="G752" s="32"/>
    </row>
    <row r="753" ht="15.75" customHeight="1">
      <c r="G753" s="32"/>
    </row>
    <row r="754" ht="15.75" customHeight="1">
      <c r="G754" s="32"/>
    </row>
    <row r="755" ht="15.75" customHeight="1">
      <c r="G755" s="32"/>
    </row>
    <row r="756" ht="15.75" customHeight="1">
      <c r="G756" s="32"/>
    </row>
    <row r="757" ht="15.75" customHeight="1">
      <c r="G757" s="32"/>
    </row>
    <row r="758" ht="15.75" customHeight="1">
      <c r="G758" s="32"/>
    </row>
    <row r="759" ht="15.75" customHeight="1">
      <c r="G759" s="32"/>
    </row>
    <row r="760" ht="15.75" customHeight="1">
      <c r="G760" s="32"/>
    </row>
    <row r="761" ht="15.75" customHeight="1">
      <c r="G761" s="32"/>
    </row>
    <row r="762" ht="15.75" customHeight="1">
      <c r="G762" s="32"/>
    </row>
    <row r="763" ht="15.75" customHeight="1">
      <c r="G763" s="32"/>
    </row>
    <row r="764" ht="15.75" customHeight="1">
      <c r="G764" s="32"/>
    </row>
    <row r="765" ht="15.75" customHeight="1">
      <c r="G765" s="32"/>
    </row>
    <row r="766" ht="15.75" customHeight="1">
      <c r="G766" s="32"/>
    </row>
    <row r="767" ht="15.75" customHeight="1">
      <c r="G767" s="32"/>
    </row>
    <row r="768" ht="15.75" customHeight="1">
      <c r="G768" s="32"/>
    </row>
    <row r="769" ht="15.75" customHeight="1">
      <c r="G769" s="32"/>
    </row>
    <row r="770" ht="15.75" customHeight="1">
      <c r="G770" s="32"/>
    </row>
    <row r="771" ht="15.75" customHeight="1">
      <c r="G771" s="32"/>
    </row>
    <row r="772" ht="15.75" customHeight="1">
      <c r="G772" s="32"/>
    </row>
    <row r="773" ht="15.75" customHeight="1">
      <c r="G773" s="32"/>
    </row>
    <row r="774" ht="15.75" customHeight="1">
      <c r="G774" s="32"/>
    </row>
    <row r="775" ht="15.75" customHeight="1">
      <c r="G775" s="32"/>
    </row>
    <row r="776" ht="15.75" customHeight="1">
      <c r="G776" s="32"/>
    </row>
    <row r="777" ht="15.75" customHeight="1">
      <c r="G777" s="32"/>
    </row>
    <row r="778" ht="15.75" customHeight="1">
      <c r="G778" s="32"/>
    </row>
    <row r="779" ht="15.75" customHeight="1">
      <c r="G779" s="32"/>
    </row>
    <row r="780" ht="15.75" customHeight="1">
      <c r="G780" s="32"/>
    </row>
    <row r="781" ht="15.75" customHeight="1">
      <c r="G781" s="32"/>
    </row>
    <row r="782" ht="15.75" customHeight="1">
      <c r="G782" s="32"/>
    </row>
    <row r="783" ht="15.75" customHeight="1">
      <c r="G783" s="32"/>
    </row>
    <row r="784" ht="15.75" customHeight="1">
      <c r="G784" s="32"/>
    </row>
    <row r="785" ht="15.75" customHeight="1">
      <c r="G785" s="32"/>
    </row>
    <row r="786" ht="15.75" customHeight="1">
      <c r="G786" s="32"/>
    </row>
    <row r="787" ht="15.75" customHeight="1">
      <c r="G787" s="32"/>
    </row>
    <row r="788" ht="15.75" customHeight="1">
      <c r="G788" s="32"/>
    </row>
    <row r="789" ht="15.75" customHeight="1">
      <c r="G789" s="32"/>
    </row>
    <row r="790" ht="15.75" customHeight="1">
      <c r="G790" s="32"/>
    </row>
    <row r="791" ht="15.75" customHeight="1">
      <c r="G791" s="32"/>
    </row>
    <row r="792" ht="15.75" customHeight="1">
      <c r="G792" s="32"/>
    </row>
    <row r="793" ht="15.75" customHeight="1">
      <c r="G793" s="32"/>
    </row>
    <row r="794" ht="15.75" customHeight="1">
      <c r="G794" s="32"/>
    </row>
    <row r="795" ht="15.75" customHeight="1">
      <c r="G795" s="32"/>
    </row>
    <row r="796" ht="15.75" customHeight="1">
      <c r="G796" s="32"/>
    </row>
    <row r="797" ht="15.75" customHeight="1">
      <c r="G797" s="32"/>
    </row>
    <row r="798" ht="15.75" customHeight="1">
      <c r="G798" s="32"/>
    </row>
    <row r="799" ht="15.75" customHeight="1">
      <c r="G799" s="32"/>
    </row>
    <row r="800" ht="15.75" customHeight="1">
      <c r="G800" s="32"/>
    </row>
    <row r="801" ht="15.75" customHeight="1">
      <c r="G801" s="32"/>
    </row>
    <row r="802" ht="15.75" customHeight="1">
      <c r="G802" s="32"/>
    </row>
    <row r="803" ht="15.75" customHeight="1">
      <c r="G803" s="32"/>
    </row>
    <row r="804" ht="15.75" customHeight="1">
      <c r="G804" s="32"/>
    </row>
    <row r="805" ht="15.75" customHeight="1">
      <c r="G805" s="32"/>
    </row>
    <row r="806" ht="15.75" customHeight="1">
      <c r="G806" s="32"/>
    </row>
    <row r="807" ht="15.75" customHeight="1">
      <c r="G807" s="32"/>
    </row>
    <row r="808" ht="15.75" customHeight="1">
      <c r="G808" s="32"/>
    </row>
    <row r="809" ht="15.75" customHeight="1">
      <c r="G809" s="32"/>
    </row>
    <row r="810" ht="15.75" customHeight="1">
      <c r="G810" s="32"/>
    </row>
    <row r="811" ht="15.75" customHeight="1">
      <c r="G811" s="32"/>
    </row>
    <row r="812" ht="15.75" customHeight="1">
      <c r="G812" s="32"/>
    </row>
    <row r="813" ht="15.75" customHeight="1">
      <c r="G813" s="32"/>
    </row>
    <row r="814" ht="15.75" customHeight="1">
      <c r="G814" s="32"/>
    </row>
    <row r="815" ht="15.75" customHeight="1">
      <c r="G815" s="32"/>
    </row>
    <row r="816" ht="15.75" customHeight="1">
      <c r="G816" s="32"/>
    </row>
    <row r="817" ht="15.75" customHeight="1">
      <c r="G817" s="32"/>
    </row>
    <row r="818" ht="15.75" customHeight="1">
      <c r="G818" s="32"/>
    </row>
    <row r="819" ht="15.75" customHeight="1">
      <c r="G819" s="32"/>
    </row>
    <row r="820" ht="15.75" customHeight="1">
      <c r="G820" s="32"/>
    </row>
    <row r="821" ht="15.75" customHeight="1">
      <c r="G821" s="32"/>
    </row>
    <row r="822" ht="15.75" customHeight="1">
      <c r="G822" s="32"/>
    </row>
    <row r="823" ht="15.75" customHeight="1">
      <c r="G823" s="32"/>
    </row>
    <row r="824" ht="15.75" customHeight="1">
      <c r="G824" s="32"/>
    </row>
    <row r="825" ht="15.75" customHeight="1">
      <c r="G825" s="32"/>
    </row>
    <row r="826" ht="15.75" customHeight="1">
      <c r="G826" s="32"/>
    </row>
    <row r="827" ht="15.75" customHeight="1">
      <c r="G827" s="32"/>
    </row>
    <row r="828" ht="15.75" customHeight="1">
      <c r="G828" s="32"/>
    </row>
    <row r="829" ht="15.75" customHeight="1">
      <c r="G829" s="32"/>
    </row>
    <row r="830" ht="15.75" customHeight="1">
      <c r="G830" s="32"/>
    </row>
    <row r="831" ht="15.75" customHeight="1">
      <c r="G831" s="32"/>
    </row>
    <row r="832" ht="15.75" customHeight="1">
      <c r="G832" s="32"/>
    </row>
    <row r="833" ht="15.75" customHeight="1">
      <c r="G833" s="32"/>
    </row>
    <row r="834" ht="15.75" customHeight="1">
      <c r="G834" s="32"/>
    </row>
    <row r="835" ht="15.75" customHeight="1">
      <c r="G835" s="32"/>
    </row>
    <row r="836" ht="15.75" customHeight="1">
      <c r="G836" s="32"/>
    </row>
    <row r="837" ht="15.75" customHeight="1">
      <c r="G837" s="32"/>
    </row>
    <row r="838" ht="15.75" customHeight="1">
      <c r="G838" s="32"/>
    </row>
    <row r="839" ht="15.75" customHeight="1">
      <c r="G839" s="32"/>
    </row>
    <row r="840" ht="15.75" customHeight="1">
      <c r="G840" s="32"/>
    </row>
    <row r="841" ht="15.75" customHeight="1">
      <c r="G841" s="32"/>
    </row>
    <row r="842" ht="15.75" customHeight="1">
      <c r="G842" s="32"/>
    </row>
    <row r="843" ht="15.75" customHeight="1">
      <c r="G843" s="32"/>
    </row>
    <row r="844" ht="15.75" customHeight="1">
      <c r="G844" s="32"/>
    </row>
    <row r="845" ht="15.75" customHeight="1">
      <c r="G845" s="32"/>
    </row>
    <row r="846" ht="15.75" customHeight="1">
      <c r="G846" s="32"/>
    </row>
    <row r="847" ht="15.75" customHeight="1">
      <c r="G847" s="32"/>
    </row>
    <row r="848" ht="15.75" customHeight="1">
      <c r="G848" s="32"/>
    </row>
    <row r="849" ht="15.75" customHeight="1">
      <c r="G849" s="32"/>
    </row>
    <row r="850" ht="15.75" customHeight="1">
      <c r="G850" s="32"/>
    </row>
    <row r="851" ht="15.75" customHeight="1">
      <c r="G851" s="32"/>
    </row>
    <row r="852" ht="15.75" customHeight="1">
      <c r="G852" s="32"/>
    </row>
    <row r="853" ht="15.75" customHeight="1">
      <c r="G853" s="32"/>
    </row>
    <row r="854" ht="15.75" customHeight="1">
      <c r="G854" s="32"/>
    </row>
    <row r="855" ht="15.75" customHeight="1">
      <c r="G855" s="32"/>
    </row>
    <row r="856" ht="15.75" customHeight="1">
      <c r="G856" s="32"/>
    </row>
    <row r="857" ht="15.75" customHeight="1">
      <c r="G857" s="32"/>
    </row>
    <row r="858" ht="15.75" customHeight="1">
      <c r="G858" s="32"/>
    </row>
    <row r="859" ht="15.75" customHeight="1">
      <c r="G859" s="32"/>
    </row>
    <row r="860" ht="15.75" customHeight="1">
      <c r="G860" s="32"/>
    </row>
    <row r="861" ht="15.75" customHeight="1">
      <c r="G861" s="32"/>
    </row>
    <row r="862" ht="15.75" customHeight="1">
      <c r="G862" s="32"/>
    </row>
    <row r="863" ht="15.75" customHeight="1">
      <c r="G863" s="32"/>
    </row>
    <row r="864" ht="15.75" customHeight="1">
      <c r="G864" s="32"/>
    </row>
    <row r="865" ht="15.75" customHeight="1">
      <c r="G865" s="32"/>
    </row>
    <row r="866" ht="15.75" customHeight="1">
      <c r="G866" s="32"/>
    </row>
    <row r="867" ht="15.75" customHeight="1">
      <c r="G867" s="32"/>
    </row>
    <row r="868" ht="15.75" customHeight="1">
      <c r="G868" s="32"/>
    </row>
    <row r="869" ht="15.75" customHeight="1">
      <c r="G869" s="32"/>
    </row>
    <row r="870" ht="15.75" customHeight="1">
      <c r="G870" s="32"/>
    </row>
    <row r="871" ht="15.75" customHeight="1">
      <c r="G871" s="32"/>
    </row>
    <row r="872" ht="15.75" customHeight="1">
      <c r="G872" s="32"/>
    </row>
    <row r="873" ht="15.75" customHeight="1">
      <c r="G873" s="32"/>
    </row>
    <row r="874" ht="15.75" customHeight="1">
      <c r="G874" s="32"/>
    </row>
    <row r="875" ht="15.75" customHeight="1">
      <c r="G875" s="32"/>
    </row>
    <row r="876" ht="15.75" customHeight="1">
      <c r="G876" s="32"/>
    </row>
    <row r="877" ht="15.75" customHeight="1">
      <c r="G877" s="32"/>
    </row>
    <row r="878" ht="15.75" customHeight="1">
      <c r="G878" s="32"/>
    </row>
    <row r="879" ht="15.75" customHeight="1">
      <c r="G879" s="32"/>
    </row>
    <row r="880" ht="15.75" customHeight="1">
      <c r="G880" s="32"/>
    </row>
    <row r="881" ht="15.75" customHeight="1">
      <c r="G881" s="32"/>
    </row>
    <row r="882" ht="15.75" customHeight="1">
      <c r="G882" s="32"/>
    </row>
    <row r="883" ht="15.75" customHeight="1">
      <c r="G883" s="32"/>
    </row>
    <row r="884" ht="15.75" customHeight="1">
      <c r="G884" s="32"/>
    </row>
    <row r="885" ht="15.75" customHeight="1">
      <c r="G885" s="32"/>
    </row>
    <row r="886" ht="15.75" customHeight="1">
      <c r="G886" s="32"/>
    </row>
    <row r="887" ht="15.75" customHeight="1">
      <c r="G887" s="32"/>
    </row>
    <row r="888" ht="15.75" customHeight="1">
      <c r="G888" s="32"/>
    </row>
    <row r="889" ht="15.75" customHeight="1">
      <c r="G889" s="32"/>
    </row>
    <row r="890" ht="15.75" customHeight="1">
      <c r="G890" s="32"/>
    </row>
    <row r="891" ht="15.75" customHeight="1">
      <c r="G891" s="32"/>
    </row>
    <row r="892" ht="15.75" customHeight="1">
      <c r="G892" s="32"/>
    </row>
    <row r="893" ht="15.75" customHeight="1">
      <c r="G893" s="32"/>
    </row>
    <row r="894" ht="15.75" customHeight="1">
      <c r="G894" s="32"/>
    </row>
    <row r="895" ht="15.75" customHeight="1">
      <c r="G895" s="32"/>
    </row>
    <row r="896" ht="15.75" customHeight="1">
      <c r="G896" s="32"/>
    </row>
    <row r="897" ht="15.75" customHeight="1">
      <c r="G897" s="32"/>
    </row>
    <row r="898" ht="15.75" customHeight="1">
      <c r="G898" s="32"/>
    </row>
    <row r="899" ht="15.75" customHeight="1">
      <c r="G899" s="32"/>
    </row>
    <row r="900" ht="15.75" customHeight="1">
      <c r="G900" s="32"/>
    </row>
    <row r="901" ht="15.75" customHeight="1">
      <c r="G901" s="32"/>
    </row>
    <row r="902" ht="15.75" customHeight="1">
      <c r="G902" s="32"/>
    </row>
    <row r="903" ht="15.75" customHeight="1">
      <c r="G903" s="32"/>
    </row>
    <row r="904" ht="15.75" customHeight="1">
      <c r="G904" s="32"/>
    </row>
    <row r="905" ht="15.75" customHeight="1">
      <c r="G905" s="32"/>
    </row>
    <row r="906" ht="15.75" customHeight="1">
      <c r="G906" s="32"/>
    </row>
    <row r="907" ht="15.75" customHeight="1">
      <c r="G907" s="32"/>
    </row>
    <row r="908" ht="15.75" customHeight="1">
      <c r="G908" s="32"/>
    </row>
    <row r="909" ht="15.75" customHeight="1">
      <c r="G909" s="32"/>
    </row>
    <row r="910" ht="15.75" customHeight="1">
      <c r="G910" s="32"/>
    </row>
    <row r="911" ht="15.75" customHeight="1">
      <c r="G911" s="32"/>
    </row>
    <row r="912" ht="15.75" customHeight="1">
      <c r="G912" s="32"/>
    </row>
    <row r="913" ht="15.75" customHeight="1">
      <c r="G913" s="32"/>
    </row>
    <row r="914" ht="15.75" customHeight="1">
      <c r="G914" s="32"/>
    </row>
    <row r="915" ht="15.75" customHeight="1">
      <c r="G915" s="32"/>
    </row>
    <row r="916" ht="15.75" customHeight="1">
      <c r="G916" s="32"/>
    </row>
    <row r="917" ht="15.75" customHeight="1">
      <c r="G917" s="32"/>
    </row>
    <row r="918" ht="15.75" customHeight="1">
      <c r="G918" s="32"/>
    </row>
    <row r="919" ht="15.75" customHeight="1">
      <c r="G919" s="32"/>
    </row>
    <row r="920" ht="15.75" customHeight="1">
      <c r="G920" s="32"/>
    </row>
    <row r="921" ht="15.75" customHeight="1">
      <c r="G921" s="32"/>
    </row>
    <row r="922" ht="15.75" customHeight="1">
      <c r="G922" s="32"/>
    </row>
    <row r="923" ht="15.75" customHeight="1">
      <c r="G923" s="32"/>
    </row>
    <row r="924" ht="15.75" customHeight="1">
      <c r="G924" s="32"/>
    </row>
    <row r="925" ht="15.75" customHeight="1">
      <c r="G925" s="32"/>
    </row>
    <row r="926" ht="15.75" customHeight="1">
      <c r="G926" s="32"/>
    </row>
    <row r="927" ht="15.75" customHeight="1">
      <c r="G927" s="32"/>
    </row>
    <row r="928" ht="15.75" customHeight="1">
      <c r="G928" s="32"/>
    </row>
    <row r="929" ht="15.75" customHeight="1">
      <c r="G929" s="32"/>
    </row>
    <row r="930" ht="15.75" customHeight="1">
      <c r="G930" s="32"/>
    </row>
    <row r="931" ht="15.75" customHeight="1">
      <c r="G931" s="32"/>
    </row>
    <row r="932" ht="15.75" customHeight="1">
      <c r="G932" s="32"/>
    </row>
    <row r="933" ht="15.75" customHeight="1">
      <c r="G933" s="32"/>
    </row>
    <row r="934" ht="15.75" customHeight="1">
      <c r="G934" s="32"/>
    </row>
    <row r="935" ht="15.75" customHeight="1">
      <c r="G935" s="32"/>
    </row>
    <row r="936" ht="15.75" customHeight="1">
      <c r="G936" s="32"/>
    </row>
    <row r="937" ht="15.75" customHeight="1">
      <c r="G937" s="32"/>
    </row>
    <row r="938" ht="15.75" customHeight="1">
      <c r="G938" s="32"/>
    </row>
    <row r="939" ht="15.75" customHeight="1">
      <c r="G939" s="32"/>
    </row>
    <row r="940" ht="15.75" customHeight="1">
      <c r="G940" s="32"/>
    </row>
    <row r="941" ht="15.75" customHeight="1">
      <c r="G941" s="32"/>
    </row>
    <row r="942" ht="15.75" customHeight="1">
      <c r="G942" s="32"/>
    </row>
    <row r="943" ht="15.75" customHeight="1">
      <c r="G943" s="32"/>
    </row>
    <row r="944" ht="15.75" customHeight="1">
      <c r="G944" s="32"/>
    </row>
    <row r="945" ht="15.75" customHeight="1">
      <c r="G945" s="32"/>
    </row>
    <row r="946" ht="15.75" customHeight="1">
      <c r="G946" s="32"/>
    </row>
    <row r="947" ht="15.75" customHeight="1">
      <c r="G947" s="32"/>
    </row>
    <row r="948" ht="15.75" customHeight="1">
      <c r="G948" s="32"/>
    </row>
    <row r="949" ht="15.75" customHeight="1">
      <c r="G949" s="32"/>
    </row>
    <row r="950" ht="15.75" customHeight="1">
      <c r="G950" s="32"/>
    </row>
    <row r="951" ht="15.75" customHeight="1">
      <c r="G951" s="32"/>
    </row>
    <row r="952" ht="15.75" customHeight="1">
      <c r="G952" s="32"/>
    </row>
    <row r="953" ht="15.75" customHeight="1">
      <c r="G953" s="32"/>
    </row>
    <row r="954" ht="15.75" customHeight="1">
      <c r="G954" s="32"/>
    </row>
    <row r="955" ht="15.75" customHeight="1">
      <c r="G955" s="32"/>
    </row>
    <row r="956" ht="15.75" customHeight="1">
      <c r="G956" s="32"/>
    </row>
    <row r="957" ht="15.75" customHeight="1">
      <c r="G957" s="32"/>
    </row>
    <row r="958" ht="15.75" customHeight="1">
      <c r="G958" s="32"/>
    </row>
    <row r="959" ht="15.75" customHeight="1">
      <c r="G959" s="32"/>
    </row>
    <row r="960" ht="15.75" customHeight="1">
      <c r="G960" s="32"/>
    </row>
    <row r="961" ht="15.75" customHeight="1">
      <c r="G961" s="32"/>
    </row>
    <row r="962" ht="15.75" customHeight="1">
      <c r="G962" s="32"/>
    </row>
    <row r="963" ht="15.75" customHeight="1">
      <c r="G963" s="32"/>
    </row>
    <row r="964" ht="15.75" customHeight="1">
      <c r="G964" s="32"/>
    </row>
    <row r="965" ht="15.75" customHeight="1">
      <c r="G965" s="32"/>
    </row>
    <row r="966" ht="15.75" customHeight="1">
      <c r="G966" s="32"/>
    </row>
    <row r="967" ht="15.75" customHeight="1">
      <c r="G967" s="32"/>
    </row>
    <row r="968" ht="15.75" customHeight="1">
      <c r="G968" s="32"/>
    </row>
    <row r="969" ht="15.75" customHeight="1">
      <c r="G969" s="32"/>
    </row>
    <row r="970" ht="15.75" customHeight="1">
      <c r="G970" s="32"/>
    </row>
    <row r="971" ht="15.75" customHeight="1">
      <c r="G971" s="32"/>
    </row>
    <row r="972" ht="15.75" customHeight="1">
      <c r="G972" s="32"/>
    </row>
    <row r="973" ht="15.75" customHeight="1">
      <c r="G973" s="32"/>
    </row>
    <row r="974" ht="15.75" customHeight="1">
      <c r="G974" s="32"/>
    </row>
    <row r="975" ht="15.75" customHeight="1">
      <c r="G975" s="32"/>
    </row>
    <row r="976" ht="15.75" customHeight="1">
      <c r="G976" s="32"/>
    </row>
    <row r="977" ht="15.75" customHeight="1">
      <c r="G977" s="32"/>
    </row>
    <row r="978" ht="15.75" customHeight="1">
      <c r="G978" s="32"/>
    </row>
    <row r="979" ht="15.75" customHeight="1">
      <c r="G979" s="32"/>
    </row>
    <row r="980" ht="15.75" customHeight="1">
      <c r="G980" s="32"/>
    </row>
    <row r="981" ht="15.75" customHeight="1">
      <c r="G981" s="32"/>
    </row>
    <row r="982" ht="15.75" customHeight="1">
      <c r="G982" s="32"/>
    </row>
    <row r="983" ht="15.75" customHeight="1">
      <c r="G983" s="32"/>
    </row>
    <row r="984" ht="15.75" customHeight="1">
      <c r="G984" s="32"/>
    </row>
    <row r="985" ht="15.75" customHeight="1">
      <c r="G985" s="32"/>
    </row>
    <row r="986" ht="15.75" customHeight="1">
      <c r="G986" s="32"/>
    </row>
    <row r="987" ht="15.75" customHeight="1">
      <c r="G987" s="32"/>
    </row>
    <row r="988" ht="15.75" customHeight="1">
      <c r="G988" s="32"/>
    </row>
    <row r="989" ht="15.75" customHeight="1">
      <c r="G989" s="32"/>
    </row>
    <row r="990" ht="15.75" customHeight="1">
      <c r="G990" s="32"/>
    </row>
    <row r="991" ht="15.75" customHeight="1">
      <c r="G991" s="32"/>
    </row>
    <row r="992" ht="15.75" customHeight="1">
      <c r="G992" s="32"/>
    </row>
    <row r="993" ht="15.75" customHeight="1">
      <c r="G993" s="32"/>
    </row>
    <row r="994" ht="15.75" customHeight="1">
      <c r="G994" s="32"/>
    </row>
    <row r="995" ht="15.75" customHeight="1">
      <c r="G995" s="32"/>
    </row>
    <row r="996" ht="15.75" customHeight="1">
      <c r="G996" s="32"/>
    </row>
    <row r="997" ht="15.75" customHeight="1">
      <c r="G997" s="32"/>
    </row>
    <row r="998" ht="15.75" customHeight="1">
      <c r="G998" s="32"/>
    </row>
    <row r="999" ht="15.75" customHeight="1">
      <c r="G999" s="32"/>
    </row>
    <row r="1000" ht="15.75" customHeight="1">
      <c r="G1000" s="32"/>
    </row>
    <row r="1001" ht="15.75" customHeight="1">
      <c r="G1001" s="32"/>
    </row>
    <row r="1002" ht="15.75" customHeight="1">
      <c r="G1002" s="32"/>
    </row>
    <row r="1003" ht="15.75" customHeight="1">
      <c r="G1003" s="32"/>
    </row>
    <row r="1004" ht="15.75" customHeight="1">
      <c r="G1004" s="32"/>
    </row>
  </sheetData>
  <mergeCells count="9">
    <mergeCell ref="A36:F36"/>
    <mergeCell ref="A48:F48"/>
    <mergeCell ref="A1:F1"/>
    <mergeCell ref="A3:F3"/>
    <mergeCell ref="A4:F4"/>
    <mergeCell ref="A12:F12"/>
    <mergeCell ref="A18:F18"/>
    <mergeCell ref="A27:F27"/>
    <mergeCell ref="A30:F30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9000"/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25.86"/>
    <col customWidth="1" min="4" max="4" width="25.14"/>
    <col customWidth="1" min="5" max="6" width="25.86"/>
    <col customWidth="1" min="7" max="7" width="43.29"/>
  </cols>
  <sheetData>
    <row r="1" ht="22.5" customHeight="1">
      <c r="A1" s="52" t="s">
        <v>221</v>
      </c>
      <c r="B1" s="52" t="s">
        <v>222</v>
      </c>
      <c r="C1" s="52" t="s">
        <v>223</v>
      </c>
      <c r="D1" s="53" t="s">
        <v>224</v>
      </c>
      <c r="E1" s="53" t="s">
        <v>225</v>
      </c>
      <c r="F1" s="52" t="s">
        <v>226</v>
      </c>
      <c r="G1" s="54" t="s">
        <v>227</v>
      </c>
    </row>
    <row r="2" ht="22.5" customHeight="1">
      <c r="A2" s="55" t="s">
        <v>228</v>
      </c>
      <c r="B2" s="55" t="s">
        <v>229</v>
      </c>
      <c r="C2" s="55" t="s">
        <v>230</v>
      </c>
      <c r="D2" s="56">
        <v>131.0</v>
      </c>
      <c r="E2" s="57">
        <f>180000000/D2</f>
        <v>1374045.802</v>
      </c>
      <c r="F2" s="55" t="s">
        <v>231</v>
      </c>
      <c r="G2" s="58"/>
    </row>
    <row r="3" ht="22.5" customHeight="1">
      <c r="A3" s="55" t="s">
        <v>232</v>
      </c>
      <c r="B3" s="55" t="s">
        <v>233</v>
      </c>
      <c r="C3" s="55" t="s">
        <v>234</v>
      </c>
      <c r="D3" s="56">
        <v>90.0</v>
      </c>
      <c r="E3" s="57">
        <f>90000000/D3</f>
        <v>1000000</v>
      </c>
      <c r="F3" s="55" t="s">
        <v>231</v>
      </c>
      <c r="G3" s="58"/>
    </row>
    <row r="4" ht="22.5" customHeight="1">
      <c r="A4" s="55" t="s">
        <v>235</v>
      </c>
      <c r="B4" s="55" t="s">
        <v>229</v>
      </c>
      <c r="C4" s="55" t="s">
        <v>236</v>
      </c>
      <c r="D4" s="56">
        <v>112.0</v>
      </c>
      <c r="E4" s="57">
        <f>170000000/D4</f>
        <v>1517857.143</v>
      </c>
      <c r="F4" s="55" t="s">
        <v>237</v>
      </c>
      <c r="G4" s="58"/>
    </row>
    <row r="5" ht="22.5" customHeight="1">
      <c r="A5" s="55" t="s">
        <v>238</v>
      </c>
      <c r="B5" s="55" t="s">
        <v>239</v>
      </c>
      <c r="C5" s="55" t="s">
        <v>240</v>
      </c>
      <c r="D5" s="56">
        <v>120.0</v>
      </c>
      <c r="E5" s="57">
        <f>220000000/D5</f>
        <v>1833333.333</v>
      </c>
      <c r="F5" s="55" t="s">
        <v>237</v>
      </c>
      <c r="G5" s="58"/>
    </row>
    <row r="6" ht="22.5" customHeight="1">
      <c r="A6" s="55" t="s">
        <v>241</v>
      </c>
      <c r="B6" s="55" t="s">
        <v>242</v>
      </c>
      <c r="C6" s="55" t="s">
        <v>243</v>
      </c>
      <c r="D6" s="56">
        <v>60.0</v>
      </c>
      <c r="E6" s="57">
        <f>80000000/D6</f>
        <v>1333333.333</v>
      </c>
      <c r="F6" s="55" t="s">
        <v>231</v>
      </c>
      <c r="G6" s="58"/>
    </row>
  </sheetData>
  <dataValidations>
    <dataValidation type="custom" allowBlank="1" showDropDown="1" sqref="E2:E6">
      <formula1>AND(ISNUMBER(E2),(NOT(OR(NOT(ISERROR(DATEVALUE(E2))), AND(ISNUMBER(E2), LEFT(CELL("format", E2))="D")))))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472C4"/>
    <pageSetUpPr/>
  </sheetPr>
  <sheetViews>
    <sheetView showGridLines="0" workbookViewId="0"/>
  </sheetViews>
  <sheetFormatPr customHeight="1" defaultColWidth="14.43" defaultRowHeight="15.0"/>
  <cols>
    <col customWidth="1" min="1" max="1" width="60.71"/>
    <col customWidth="1" min="2" max="12" width="11.0"/>
    <col customWidth="1" min="13" max="13" width="58.0"/>
    <col customWidth="1" min="14" max="26" width="8.71"/>
  </cols>
  <sheetData>
    <row r="1" ht="24.0" customHeight="1">
      <c r="A1" s="12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0.0" customHeight="1">
      <c r="A2" s="33" t="s">
        <v>245</v>
      </c>
      <c r="B2" s="33" t="s">
        <v>246</v>
      </c>
      <c r="C2" s="33" t="s">
        <v>247</v>
      </c>
      <c r="D2" s="33" t="s">
        <v>248</v>
      </c>
      <c r="E2" s="33" t="s">
        <v>249</v>
      </c>
      <c r="F2" s="33" t="s">
        <v>250</v>
      </c>
      <c r="G2" s="33" t="s">
        <v>251</v>
      </c>
      <c r="H2" s="33" t="s">
        <v>252</v>
      </c>
      <c r="I2" s="33" t="s">
        <v>253</v>
      </c>
      <c r="J2" s="33" t="s">
        <v>254</v>
      </c>
      <c r="K2" s="33" t="s">
        <v>255</v>
      </c>
      <c r="L2" s="33" t="s">
        <v>256</v>
      </c>
      <c r="M2" s="33" t="s">
        <v>167</v>
      </c>
    </row>
    <row r="3" ht="18.0" customHeight="1">
      <c r="A3" s="14" t="s">
        <v>257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ht="15.75" customHeight="1">
      <c r="A4" s="15" t="s">
        <v>258</v>
      </c>
      <c r="B4" s="26">
        <f>Assumptions!$B$4</f>
        <v>80</v>
      </c>
      <c r="C4" s="26">
        <f>Assumptions!$B$4</f>
        <v>80</v>
      </c>
      <c r="D4" s="26">
        <f>Assumptions!$B$4</f>
        <v>80</v>
      </c>
      <c r="E4" s="26">
        <f>Assumptions!$B$4</f>
        <v>80</v>
      </c>
      <c r="F4" s="26">
        <f>Assumptions!$B$4</f>
        <v>80</v>
      </c>
      <c r="G4" s="26">
        <f>Assumptions!$B$4</f>
        <v>80</v>
      </c>
      <c r="H4" s="26">
        <f>Assumptions!$B$4</f>
        <v>80</v>
      </c>
      <c r="I4" s="26">
        <f>Assumptions!$B$4</f>
        <v>80</v>
      </c>
      <c r="J4" s="26">
        <f>Assumptions!$B$4</f>
        <v>80</v>
      </c>
      <c r="K4" s="26">
        <f>Assumptions!$B$4</f>
        <v>80</v>
      </c>
      <c r="L4" s="36">
        <f>Assumptions!$B$4</f>
        <v>80</v>
      </c>
      <c r="M4" s="59"/>
    </row>
    <row r="5" ht="15.75" customHeight="1">
      <c r="A5" s="15" t="s">
        <v>259</v>
      </c>
      <c r="B5" s="60">
        <f>Assumptions!$B$35</f>
        <v>0.45</v>
      </c>
      <c r="C5" s="60">
        <f>Assumptions!$B$36</f>
        <v>0.575</v>
      </c>
      <c r="D5" s="60">
        <f>Assumptions!$B$37</f>
        <v>0.65</v>
      </c>
      <c r="E5" s="60">
        <f>Assumptions!$B$38</f>
        <v>0.7</v>
      </c>
      <c r="F5" s="60">
        <f>Assumptions!$B$38</f>
        <v>0.7</v>
      </c>
      <c r="G5" s="60">
        <f>Assumptions!$B$38</f>
        <v>0.7</v>
      </c>
      <c r="H5" s="60">
        <f>Assumptions!$B$38</f>
        <v>0.7</v>
      </c>
      <c r="I5" s="60">
        <f>Assumptions!$B$38</f>
        <v>0.7</v>
      </c>
      <c r="J5" s="60">
        <f>Assumptions!$B$38</f>
        <v>0.7</v>
      </c>
      <c r="K5" s="60">
        <f>Assumptions!$B$38</f>
        <v>0.7</v>
      </c>
      <c r="L5" s="61">
        <f>AVERAGE(B5:K5)</f>
        <v>0.6575</v>
      </c>
      <c r="M5" s="59"/>
    </row>
    <row r="6" ht="15.75" customHeight="1">
      <c r="A6" s="15" t="s">
        <v>260</v>
      </c>
      <c r="B6" s="62">
        <f>ROUND(B4*214*B5,0)</f>
        <v>7704</v>
      </c>
      <c r="C6" s="62">
        <f t="shared" ref="C6:D6" si="1">ROUND(C4*365*C5,0)</f>
        <v>16790</v>
      </c>
      <c r="D6" s="62">
        <f t="shared" si="1"/>
        <v>18980</v>
      </c>
      <c r="E6" s="62">
        <f>ROUND(E4*366*E5,0)</f>
        <v>20496</v>
      </c>
      <c r="F6" s="62">
        <f t="shared" ref="F6:H6" si="2">ROUND(F4*365*F5,0)</f>
        <v>20440</v>
      </c>
      <c r="G6" s="62">
        <f t="shared" si="2"/>
        <v>20440</v>
      </c>
      <c r="H6" s="62">
        <f t="shared" si="2"/>
        <v>20440</v>
      </c>
      <c r="I6" s="62">
        <f>ROUND(I4*366*I5,0)</f>
        <v>20496</v>
      </c>
      <c r="J6" s="62">
        <f t="shared" ref="J6:K6" si="3">ROUND(J4*365*J5,0)</f>
        <v>20440</v>
      </c>
      <c r="K6" s="62">
        <f t="shared" si="3"/>
        <v>20440</v>
      </c>
      <c r="L6" s="62">
        <f>SUM(B6:K6)</f>
        <v>186666</v>
      </c>
      <c r="M6" s="59"/>
    </row>
    <row r="7" ht="15.75" customHeight="1">
      <c r="A7" s="15" t="s">
        <v>261</v>
      </c>
      <c r="B7" s="26">
        <f>Assumptions!$B$39</f>
        <v>2531</v>
      </c>
      <c r="C7" s="36">
        <f>ROUND(B7*(1+Assumptions!$B$40),0)</f>
        <v>2658</v>
      </c>
      <c r="D7" s="36">
        <f>ROUND(C7*(1+Assumptions!$B$40),0)</f>
        <v>2791</v>
      </c>
      <c r="E7" s="36">
        <f>ROUND(D7*(1+Assumptions!$B$40),0)</f>
        <v>2931</v>
      </c>
      <c r="F7" s="36">
        <f>ROUND(E7*(1+Assumptions!$B$40),0)</f>
        <v>3078</v>
      </c>
      <c r="G7" s="36">
        <f>ROUND(F7*(1+Assumptions!$B$40),0)</f>
        <v>3232</v>
      </c>
      <c r="H7" s="36">
        <f>ROUND(G7*(1+Assumptions!$B$40),0)</f>
        <v>3394</v>
      </c>
      <c r="I7" s="36">
        <f>ROUND(H7*(1+Assumptions!$B$40),0)</f>
        <v>3564</v>
      </c>
      <c r="J7" s="36">
        <f>ROUND(I7*(1+Assumptions!$B$40),0)</f>
        <v>3742</v>
      </c>
      <c r="K7" s="36">
        <f>ROUND(J7*(1+Assumptions!$B$40),0)</f>
        <v>3929</v>
      </c>
      <c r="L7" s="36">
        <f t="shared" ref="L7:L9" si="5">AVERAGE(B7:K7)</f>
        <v>3185</v>
      </c>
      <c r="M7" s="59"/>
    </row>
    <row r="8" ht="15.75" customHeight="1">
      <c r="A8" s="15" t="s">
        <v>262</v>
      </c>
      <c r="B8" s="36">
        <f t="shared" ref="B8:K8" si="4">ROUND(B7*B5,0)</f>
        <v>1139</v>
      </c>
      <c r="C8" s="36">
        <f t="shared" si="4"/>
        <v>1528</v>
      </c>
      <c r="D8" s="36">
        <f t="shared" si="4"/>
        <v>1814</v>
      </c>
      <c r="E8" s="36">
        <f t="shared" si="4"/>
        <v>2052</v>
      </c>
      <c r="F8" s="36">
        <f t="shared" si="4"/>
        <v>2155</v>
      </c>
      <c r="G8" s="36">
        <f t="shared" si="4"/>
        <v>2262</v>
      </c>
      <c r="H8" s="36">
        <f t="shared" si="4"/>
        <v>2376</v>
      </c>
      <c r="I8" s="36">
        <f t="shared" si="4"/>
        <v>2495</v>
      </c>
      <c r="J8" s="36">
        <f t="shared" si="4"/>
        <v>2619</v>
      </c>
      <c r="K8" s="36">
        <f t="shared" si="4"/>
        <v>2750</v>
      </c>
      <c r="L8" s="36">
        <f t="shared" si="5"/>
        <v>2119</v>
      </c>
      <c r="M8" s="59"/>
    </row>
    <row r="9" ht="15.75" customHeight="1">
      <c r="A9" s="15" t="s">
        <v>263</v>
      </c>
      <c r="B9" s="63">
        <f>Assumptions!$B$43</f>
        <v>0.7</v>
      </c>
      <c r="C9" s="63">
        <f>Assumptions!$B$43</f>
        <v>0.7</v>
      </c>
      <c r="D9" s="63">
        <f>Assumptions!$B$43</f>
        <v>0.7</v>
      </c>
      <c r="E9" s="63">
        <f>Assumptions!$B$43</f>
        <v>0.7</v>
      </c>
      <c r="F9" s="63">
        <f>Assumptions!$B$43</f>
        <v>0.7</v>
      </c>
      <c r="G9" s="63">
        <f>Assumptions!$B$43</f>
        <v>0.7</v>
      </c>
      <c r="H9" s="63">
        <f>Assumptions!$B$43</f>
        <v>0.7</v>
      </c>
      <c r="I9" s="63">
        <f>Assumptions!$B$43</f>
        <v>0.7</v>
      </c>
      <c r="J9" s="63">
        <f>Assumptions!$B$43</f>
        <v>0.7</v>
      </c>
      <c r="K9" s="63">
        <f>Assumptions!$B$43</f>
        <v>0.7</v>
      </c>
      <c r="L9" s="61">
        <f t="shared" si="5"/>
        <v>0.7</v>
      </c>
      <c r="M9" s="59"/>
    </row>
    <row r="10" ht="15.75" customHeight="1">
      <c r="A10" s="15" t="s">
        <v>264</v>
      </c>
      <c r="B10" s="60">
        <f>Assumptions!$B$41</f>
        <v>0.04</v>
      </c>
      <c r="C10" s="60">
        <f>Assumptions!$B$41</f>
        <v>0.04</v>
      </c>
      <c r="D10" s="60">
        <f>Assumptions!$B$41</f>
        <v>0.04</v>
      </c>
      <c r="E10" s="60">
        <f>Assumptions!$B$41</f>
        <v>0.04</v>
      </c>
      <c r="F10" s="60">
        <f>Assumptions!$B$41</f>
        <v>0.04</v>
      </c>
      <c r="G10" s="60">
        <f>Assumptions!$B$41</f>
        <v>0.04</v>
      </c>
      <c r="H10" s="60">
        <f>Assumptions!$B$41</f>
        <v>0.04</v>
      </c>
      <c r="I10" s="60">
        <f>Assumptions!$B$41</f>
        <v>0.04</v>
      </c>
      <c r="J10" s="60">
        <f>Assumptions!$B$41</f>
        <v>0.04</v>
      </c>
      <c r="K10" s="60">
        <f>Assumptions!$B$41</f>
        <v>0.04</v>
      </c>
      <c r="L10" s="61">
        <f>Assumptions!$B$41</f>
        <v>0.04</v>
      </c>
      <c r="M10" s="59"/>
    </row>
    <row r="11" ht="15.75" customHeight="1">
      <c r="A11" s="15" t="s">
        <v>265</v>
      </c>
      <c r="B11" s="60">
        <f>Assumptions!$B$42</f>
        <v>0.03</v>
      </c>
      <c r="C11" s="60">
        <f>Assumptions!$B$42</f>
        <v>0.03</v>
      </c>
      <c r="D11" s="60">
        <f>Assumptions!$B$42</f>
        <v>0.03</v>
      </c>
      <c r="E11" s="60">
        <f>Assumptions!$B$42</f>
        <v>0.03</v>
      </c>
      <c r="F11" s="60">
        <f>Assumptions!$B$42</f>
        <v>0.03</v>
      </c>
      <c r="G11" s="60">
        <f>Assumptions!$B$42</f>
        <v>0.03</v>
      </c>
      <c r="H11" s="60">
        <f>Assumptions!$B$42</f>
        <v>0.03</v>
      </c>
      <c r="I11" s="60">
        <f>Assumptions!$B$42</f>
        <v>0.03</v>
      </c>
      <c r="J11" s="60">
        <f>Assumptions!$B$42</f>
        <v>0.03</v>
      </c>
      <c r="K11" s="60">
        <f>Assumptions!$B$42</f>
        <v>0.03</v>
      </c>
      <c r="L11" s="61">
        <f>Assumptions!$B$42</f>
        <v>0.03</v>
      </c>
      <c r="M11" s="59"/>
    </row>
    <row r="13" ht="18.0" customHeight="1">
      <c r="A13" s="14" t="s">
        <v>266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ht="15.75" customHeight="1">
      <c r="A14" s="15" t="s">
        <v>267</v>
      </c>
      <c r="B14" s="36">
        <f t="shared" ref="B14:K14" si="6">ROUND(B6*B7/1000,0)</f>
        <v>19499</v>
      </c>
      <c r="C14" s="36">
        <f t="shared" si="6"/>
        <v>44628</v>
      </c>
      <c r="D14" s="36">
        <f t="shared" si="6"/>
        <v>52973</v>
      </c>
      <c r="E14" s="36">
        <f t="shared" si="6"/>
        <v>60074</v>
      </c>
      <c r="F14" s="36">
        <f t="shared" si="6"/>
        <v>62914</v>
      </c>
      <c r="G14" s="36">
        <f t="shared" si="6"/>
        <v>66062</v>
      </c>
      <c r="H14" s="36">
        <f t="shared" si="6"/>
        <v>69373</v>
      </c>
      <c r="I14" s="36">
        <f t="shared" si="6"/>
        <v>73048</v>
      </c>
      <c r="J14" s="36">
        <f t="shared" si="6"/>
        <v>76486</v>
      </c>
      <c r="K14" s="36">
        <f t="shared" si="6"/>
        <v>80309</v>
      </c>
      <c r="L14" s="36">
        <f t="shared" ref="L14:L18" si="7">SUM(B14:K14)</f>
        <v>605366</v>
      </c>
      <c r="M14" s="59"/>
    </row>
    <row r="15" ht="15.75" customHeight="1">
      <c r="A15" s="15" t="s">
        <v>268</v>
      </c>
      <c r="B15" s="26">
        <f>Assumptions!$B$61</f>
        <v>221</v>
      </c>
      <c r="C15" s="36">
        <f>ROUND(B15*(1+Assumptions!$B$41),0)</f>
        <v>230</v>
      </c>
      <c r="D15" s="36">
        <f>ROUND(C15*(1+Assumptions!$B$41),0)</f>
        <v>239</v>
      </c>
      <c r="E15" s="36">
        <f>ROUND(D15*(1+Assumptions!$B$41),0)</f>
        <v>249</v>
      </c>
      <c r="F15" s="36">
        <f>ROUND(E15*(1+Assumptions!$B$41),0)</f>
        <v>259</v>
      </c>
      <c r="G15" s="36">
        <f>ROUND(F15*(1+Assumptions!$B$41),0)</f>
        <v>269</v>
      </c>
      <c r="H15" s="36">
        <f>ROUND(G15*(1+Assumptions!$B$41),0)</f>
        <v>280</v>
      </c>
      <c r="I15" s="36">
        <f>ROUND(H15*(1+Assumptions!$B$41),0)</f>
        <v>291</v>
      </c>
      <c r="J15" s="36">
        <f>ROUND(I15*(1+Assumptions!$B$41),0)</f>
        <v>303</v>
      </c>
      <c r="K15" s="36">
        <f>ROUND(J15*(1+Assumptions!$B$41),0)</f>
        <v>315</v>
      </c>
      <c r="L15" s="36">
        <f t="shared" si="7"/>
        <v>2656</v>
      </c>
      <c r="M15" s="59"/>
    </row>
    <row r="16" ht="15.75" customHeight="1">
      <c r="A16" s="15" t="s">
        <v>269</v>
      </c>
      <c r="B16" s="26">
        <f>Assumptions!$B$62</f>
        <v>966</v>
      </c>
      <c r="C16" s="36">
        <f>ROUND(B16*(1+Assumptions!$B$41),0)</f>
        <v>1005</v>
      </c>
      <c r="D16" s="36">
        <f>ROUND(C16*(1+Assumptions!$B$41),0)</f>
        <v>1045</v>
      </c>
      <c r="E16" s="36">
        <f>ROUND(D16*(1+Assumptions!$B$41),0)</f>
        <v>1087</v>
      </c>
      <c r="F16" s="36">
        <f>ROUND(E16*(1+Assumptions!$B$41),0)</f>
        <v>1130</v>
      </c>
      <c r="G16" s="36">
        <f>ROUND(F16*(1+Assumptions!$B$41),0)</f>
        <v>1175</v>
      </c>
      <c r="H16" s="36">
        <f>ROUND(G16*(1+Assumptions!$B$41),0)</f>
        <v>1222</v>
      </c>
      <c r="I16" s="36">
        <f>ROUND(H16*(1+Assumptions!$B$41),0)</f>
        <v>1271</v>
      </c>
      <c r="J16" s="36">
        <f>ROUND(I16*(1+Assumptions!$B$41),0)</f>
        <v>1322</v>
      </c>
      <c r="K16" s="36">
        <f>ROUND(J16*(1+Assumptions!$B$41),0)</f>
        <v>1375</v>
      </c>
      <c r="L16" s="36">
        <f t="shared" si="7"/>
        <v>11598</v>
      </c>
      <c r="M16" s="59"/>
    </row>
    <row r="17" ht="15.75" customHeight="1">
      <c r="A17" s="15" t="s">
        <v>270</v>
      </c>
      <c r="B17" s="26">
        <f>Assumptions!$B$63</f>
        <v>140</v>
      </c>
      <c r="C17" s="36">
        <f>ROUND(B17*(1+Assumptions!$B$41),0)</f>
        <v>146</v>
      </c>
      <c r="D17" s="36">
        <f>ROUND(C17*(1+Assumptions!$B$41),0)</f>
        <v>152</v>
      </c>
      <c r="E17" s="36">
        <f>ROUND(D17*(1+Assumptions!$B$41),0)</f>
        <v>158</v>
      </c>
      <c r="F17" s="36">
        <f>ROUND(E17*(1+Assumptions!$B$41),0)</f>
        <v>164</v>
      </c>
      <c r="G17" s="36">
        <f>ROUND(F17*(1+Assumptions!$B$41),0)</f>
        <v>171</v>
      </c>
      <c r="H17" s="36">
        <f>ROUND(G17*(1+Assumptions!$B$41),0)</f>
        <v>178</v>
      </c>
      <c r="I17" s="36">
        <f>ROUND(H17*(1+Assumptions!$B$41),0)</f>
        <v>185</v>
      </c>
      <c r="J17" s="36">
        <f>ROUND(I17*(1+Assumptions!$B$41),0)</f>
        <v>192</v>
      </c>
      <c r="K17" s="36">
        <f>ROUND(J17*(1+Assumptions!$B$41),0)</f>
        <v>200</v>
      </c>
      <c r="L17" s="36">
        <f t="shared" si="7"/>
        <v>1686</v>
      </c>
      <c r="M17" s="59"/>
    </row>
    <row r="18" ht="18.0" customHeight="1">
      <c r="A18" s="37" t="s">
        <v>271</v>
      </c>
      <c r="B18" s="38">
        <f t="shared" ref="B18:K18" si="8">B14+B15+B16+B17</f>
        <v>20826</v>
      </c>
      <c r="C18" s="38">
        <f t="shared" si="8"/>
        <v>46009</v>
      </c>
      <c r="D18" s="38">
        <f t="shared" si="8"/>
        <v>54409</v>
      </c>
      <c r="E18" s="38">
        <f t="shared" si="8"/>
        <v>61568</v>
      </c>
      <c r="F18" s="38">
        <f t="shared" si="8"/>
        <v>64467</v>
      </c>
      <c r="G18" s="38">
        <f t="shared" si="8"/>
        <v>67677</v>
      </c>
      <c r="H18" s="38">
        <f t="shared" si="8"/>
        <v>71053</v>
      </c>
      <c r="I18" s="38">
        <f t="shared" si="8"/>
        <v>74795</v>
      </c>
      <c r="J18" s="38">
        <f t="shared" si="8"/>
        <v>78303</v>
      </c>
      <c r="K18" s="38">
        <f t="shared" si="8"/>
        <v>82199</v>
      </c>
      <c r="L18" s="38">
        <f t="shared" si="7"/>
        <v>621306</v>
      </c>
      <c r="M18" s="59"/>
    </row>
    <row r="20" ht="18.0" customHeight="1">
      <c r="A20" s="14" t="s">
        <v>272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ht="15.75" customHeight="1">
      <c r="A21" s="64" t="s">
        <v>273</v>
      </c>
      <c r="B21" s="63">
        <f>Assumptions!$B$45+(Assumptions!$B$46-Assumptions!$B$45)*0/3</f>
        <v>0.101</v>
      </c>
      <c r="C21" s="63">
        <f>Assumptions!$B$45+(Assumptions!$B$46-Assumptions!$B$45)*1/3</f>
        <v>0.0995</v>
      </c>
      <c r="D21" s="63">
        <f>Assumptions!$B$45+(Assumptions!$B$46-Assumptions!$B$45)*2/3</f>
        <v>0.098</v>
      </c>
      <c r="E21" s="63">
        <f>Assumptions!$B$45+(Assumptions!$B$46-Assumptions!$B$45)*3/3</f>
        <v>0.0965</v>
      </c>
      <c r="F21" s="63">
        <f>Assumptions!$B$45+(Assumptions!$B$46-Assumptions!$B$45)*3/3</f>
        <v>0.0965</v>
      </c>
      <c r="G21" s="63">
        <f>Assumptions!$B$45+(Assumptions!$B$46-Assumptions!$B$45)*3/3</f>
        <v>0.0965</v>
      </c>
      <c r="H21" s="63">
        <f>Assumptions!$B$45+(Assumptions!$B$46-Assumptions!$B$45)*3/3</f>
        <v>0.0965</v>
      </c>
      <c r="I21" s="63">
        <f>Assumptions!$B$45+(Assumptions!$B$46-Assumptions!$B$45)*3/3</f>
        <v>0.0965</v>
      </c>
      <c r="J21" s="63">
        <f>Assumptions!$B$45+(Assumptions!$B$46-Assumptions!$B$45)*3/3</f>
        <v>0.0965</v>
      </c>
      <c r="K21" s="63">
        <f>Assumptions!$B$45+(Assumptions!$B$46-Assumptions!$B$45)*3/3</f>
        <v>0.0965</v>
      </c>
      <c r="L21" s="65">
        <f>AVERAGE(B21:K21)</f>
        <v>0.0974</v>
      </c>
      <c r="M21" s="59"/>
    </row>
    <row r="22" ht="15.75" customHeight="1">
      <c r="A22" s="15" t="s">
        <v>274</v>
      </c>
      <c r="B22" s="62">
        <f t="shared" ref="B22:K22" si="9">ROUND(B21*B14,0)</f>
        <v>1969</v>
      </c>
      <c r="C22" s="62">
        <f t="shared" si="9"/>
        <v>4440</v>
      </c>
      <c r="D22" s="62">
        <f t="shared" si="9"/>
        <v>5191</v>
      </c>
      <c r="E22" s="62">
        <f t="shared" si="9"/>
        <v>5797</v>
      </c>
      <c r="F22" s="62">
        <f t="shared" si="9"/>
        <v>6071</v>
      </c>
      <c r="G22" s="62">
        <f t="shared" si="9"/>
        <v>6375</v>
      </c>
      <c r="H22" s="62">
        <f t="shared" si="9"/>
        <v>6694</v>
      </c>
      <c r="I22" s="62">
        <f t="shared" si="9"/>
        <v>7049</v>
      </c>
      <c r="J22" s="62">
        <f t="shared" si="9"/>
        <v>7381</v>
      </c>
      <c r="K22" s="62">
        <f t="shared" si="9"/>
        <v>7750</v>
      </c>
      <c r="L22" s="62">
        <f>SUM(B22:K22)</f>
        <v>58717</v>
      </c>
      <c r="M22" s="59"/>
    </row>
    <row r="23" ht="15.75" customHeight="1">
      <c r="A23" s="64" t="s">
        <v>275</v>
      </c>
      <c r="B23" s="63">
        <f>Assumptions!$B$47+(Assumptions!$B$48-Assumptions!$B$47)*0/9</f>
        <v>0.0629</v>
      </c>
      <c r="C23" s="63">
        <f>Assumptions!$B$47+(Assumptions!$B$48-Assumptions!$B$47)*1/9</f>
        <v>0.06214444444</v>
      </c>
      <c r="D23" s="63">
        <f>Assumptions!$B$47+(Assumptions!$B$48-Assumptions!$B$47)*2/9</f>
        <v>0.06138888889</v>
      </c>
      <c r="E23" s="63">
        <f>Assumptions!$B$47+(Assumptions!$B$48-Assumptions!$B$47)*3/9</f>
        <v>0.06063333333</v>
      </c>
      <c r="F23" s="63">
        <f>Assumptions!$B$47+(Assumptions!$B$48-Assumptions!$B$47)*4/9</f>
        <v>0.05987777778</v>
      </c>
      <c r="G23" s="63">
        <f>Assumptions!$B$47+(Assumptions!$B$48-Assumptions!$B$47)*5/9</f>
        <v>0.05912222222</v>
      </c>
      <c r="H23" s="63">
        <f>Assumptions!$B$47+(Assumptions!$B$48-Assumptions!$B$47)*6/9</f>
        <v>0.05836666667</v>
      </c>
      <c r="I23" s="63">
        <f>Assumptions!$B$47+(Assumptions!$B$48-Assumptions!$B$47)*7/9</f>
        <v>0.05761111111</v>
      </c>
      <c r="J23" s="63">
        <f>Assumptions!$B$47+(Assumptions!$B$48-Assumptions!$B$47)*8/9</f>
        <v>0.05685555556</v>
      </c>
      <c r="K23" s="63">
        <f>Assumptions!$B$47+(Assumptions!$B$48-Assumptions!$B$47)*9/9</f>
        <v>0.0561</v>
      </c>
      <c r="L23" s="65">
        <f>AVERAGE(B23:K23)</f>
        <v>0.0595</v>
      </c>
      <c r="M23" s="59"/>
    </row>
    <row r="24" ht="15.75" customHeight="1">
      <c r="A24" s="15" t="s">
        <v>276</v>
      </c>
      <c r="B24" s="62">
        <f t="shared" ref="B24:K24" si="10">ROUND(B23*B18,0)</f>
        <v>1310</v>
      </c>
      <c r="C24" s="62">
        <f t="shared" si="10"/>
        <v>2859</v>
      </c>
      <c r="D24" s="62">
        <f t="shared" si="10"/>
        <v>3340</v>
      </c>
      <c r="E24" s="62">
        <f t="shared" si="10"/>
        <v>3733</v>
      </c>
      <c r="F24" s="62">
        <f t="shared" si="10"/>
        <v>3860</v>
      </c>
      <c r="G24" s="62">
        <f t="shared" si="10"/>
        <v>4001</v>
      </c>
      <c r="H24" s="62">
        <f t="shared" si="10"/>
        <v>4147</v>
      </c>
      <c r="I24" s="62">
        <f t="shared" si="10"/>
        <v>4309</v>
      </c>
      <c r="J24" s="62">
        <f t="shared" si="10"/>
        <v>4452</v>
      </c>
      <c r="K24" s="62">
        <f t="shared" si="10"/>
        <v>4611</v>
      </c>
      <c r="L24" s="62">
        <f>SUM(B24:K24)</f>
        <v>36622</v>
      </c>
      <c r="M24" s="59"/>
    </row>
    <row r="25" ht="15.75" customHeight="1">
      <c r="A25" s="64" t="s">
        <v>277</v>
      </c>
      <c r="B25" s="63">
        <f>Assumptions!$B$49+(Assumptions!$B$50-Assumptions!$B$49)*0/9</f>
        <v>0.0275</v>
      </c>
      <c r="C25" s="63">
        <f>Assumptions!$B$49+(Assumptions!$B$50-Assumptions!$B$49)*1/9</f>
        <v>0.02685555556</v>
      </c>
      <c r="D25" s="63">
        <f>Assumptions!$B$49+(Assumptions!$B$50-Assumptions!$B$49)*2/9</f>
        <v>0.02621111111</v>
      </c>
      <c r="E25" s="63">
        <f>Assumptions!$B$49+(Assumptions!$B$50-Assumptions!$B$49)*3/9</f>
        <v>0.02556666667</v>
      </c>
      <c r="F25" s="63">
        <f>Assumptions!$B$49+(Assumptions!$B$50-Assumptions!$B$49)*4/9</f>
        <v>0.02492222222</v>
      </c>
      <c r="G25" s="63">
        <f>Assumptions!$B$49+(Assumptions!$B$50-Assumptions!$B$49)*5/9</f>
        <v>0.02427777778</v>
      </c>
      <c r="H25" s="63">
        <f>Assumptions!$B$49+(Assumptions!$B$50-Assumptions!$B$49)*6/9</f>
        <v>0.02363333333</v>
      </c>
      <c r="I25" s="63">
        <f>Assumptions!$B$49+(Assumptions!$B$50-Assumptions!$B$49)*7/9</f>
        <v>0.02298888889</v>
      </c>
      <c r="J25" s="63">
        <f>Assumptions!$B$49+(Assumptions!$B$50-Assumptions!$B$49)*8/9</f>
        <v>0.02234444444</v>
      </c>
      <c r="K25" s="63">
        <f>Assumptions!$B$49+(Assumptions!$B$50-Assumptions!$B$49)*9/9</f>
        <v>0.0217</v>
      </c>
      <c r="L25" s="65">
        <f>AVERAGE(B25:K25)</f>
        <v>0.0246</v>
      </c>
      <c r="M25" s="59"/>
    </row>
    <row r="26" ht="15.75" customHeight="1">
      <c r="A26" s="15" t="s">
        <v>278</v>
      </c>
      <c r="B26" s="62">
        <f t="shared" ref="B26:K26" si="11">ROUND(B25*B18,0)</f>
        <v>573</v>
      </c>
      <c r="C26" s="62">
        <f t="shared" si="11"/>
        <v>1236</v>
      </c>
      <c r="D26" s="62">
        <f t="shared" si="11"/>
        <v>1426</v>
      </c>
      <c r="E26" s="62">
        <f t="shared" si="11"/>
        <v>1574</v>
      </c>
      <c r="F26" s="62">
        <f t="shared" si="11"/>
        <v>1607</v>
      </c>
      <c r="G26" s="62">
        <f t="shared" si="11"/>
        <v>1643</v>
      </c>
      <c r="H26" s="62">
        <f t="shared" si="11"/>
        <v>1679</v>
      </c>
      <c r="I26" s="62">
        <f t="shared" si="11"/>
        <v>1719</v>
      </c>
      <c r="J26" s="62">
        <f t="shared" si="11"/>
        <v>1750</v>
      </c>
      <c r="K26" s="62">
        <f t="shared" si="11"/>
        <v>1784</v>
      </c>
      <c r="L26" s="62">
        <f t="shared" ref="L26:L29" si="12">SUM(B26:K26)</f>
        <v>14991</v>
      </c>
      <c r="M26" s="59"/>
    </row>
    <row r="27" ht="15.75" customHeight="1">
      <c r="A27" s="15" t="s">
        <v>270</v>
      </c>
      <c r="B27" s="26">
        <f>ROUND(Assumptions!$B$75*B17,0)</f>
        <v>17</v>
      </c>
      <c r="C27" s="26">
        <f>ROUND(Assumptions!$B$75*C17,0)</f>
        <v>18</v>
      </c>
      <c r="D27" s="26">
        <f>ROUND(Assumptions!$B$75*D17,0)</f>
        <v>19</v>
      </c>
      <c r="E27" s="26">
        <f>ROUND(Assumptions!$B$75*E17,0)</f>
        <v>19</v>
      </c>
      <c r="F27" s="26">
        <f>ROUND(Assumptions!$B$75*F17,0)</f>
        <v>20</v>
      </c>
      <c r="G27" s="26">
        <f>ROUND(Assumptions!$B$75*G17,0)</f>
        <v>21</v>
      </c>
      <c r="H27" s="26">
        <f>ROUND(Assumptions!$B$75*H17,0)</f>
        <v>22</v>
      </c>
      <c r="I27" s="26">
        <f>ROUND(Assumptions!$B$75*I17,0)</f>
        <v>23</v>
      </c>
      <c r="J27" s="26">
        <f>ROUND(Assumptions!$B$75*J17,0)</f>
        <v>23</v>
      </c>
      <c r="K27" s="26">
        <f>ROUND(Assumptions!$B$75*K17,0)</f>
        <v>24</v>
      </c>
      <c r="L27" s="36">
        <f t="shared" si="12"/>
        <v>206</v>
      </c>
      <c r="M27" s="59"/>
    </row>
    <row r="28" ht="18.0" customHeight="1">
      <c r="A28" s="37" t="s">
        <v>279</v>
      </c>
      <c r="B28" s="38">
        <f t="shared" ref="B28:K28" si="13">B22+B24+B26+B27</f>
        <v>3869</v>
      </c>
      <c r="C28" s="38">
        <f t="shared" si="13"/>
        <v>8553</v>
      </c>
      <c r="D28" s="38">
        <f t="shared" si="13"/>
        <v>9976</v>
      </c>
      <c r="E28" s="38">
        <f t="shared" si="13"/>
        <v>11123</v>
      </c>
      <c r="F28" s="38">
        <f t="shared" si="13"/>
        <v>11558</v>
      </c>
      <c r="G28" s="38">
        <f t="shared" si="13"/>
        <v>12040</v>
      </c>
      <c r="H28" s="38">
        <f t="shared" si="13"/>
        <v>12542</v>
      </c>
      <c r="I28" s="38">
        <f t="shared" si="13"/>
        <v>13100</v>
      </c>
      <c r="J28" s="38">
        <f t="shared" si="13"/>
        <v>13606</v>
      </c>
      <c r="K28" s="38">
        <f t="shared" si="13"/>
        <v>14169</v>
      </c>
      <c r="L28" s="38">
        <f t="shared" si="12"/>
        <v>110536</v>
      </c>
      <c r="M28" s="59"/>
    </row>
    <row r="29" ht="18.0" customHeight="1">
      <c r="A29" s="37" t="s">
        <v>280</v>
      </c>
      <c r="B29" s="38">
        <f t="shared" ref="B29:K29" si="14">B18-B28</f>
        <v>16957</v>
      </c>
      <c r="C29" s="38">
        <f t="shared" si="14"/>
        <v>37456</v>
      </c>
      <c r="D29" s="38">
        <f t="shared" si="14"/>
        <v>44433</v>
      </c>
      <c r="E29" s="38">
        <f t="shared" si="14"/>
        <v>50445</v>
      </c>
      <c r="F29" s="38">
        <f t="shared" si="14"/>
        <v>52909</v>
      </c>
      <c r="G29" s="38">
        <f t="shared" si="14"/>
        <v>55637</v>
      </c>
      <c r="H29" s="38">
        <f t="shared" si="14"/>
        <v>58511</v>
      </c>
      <c r="I29" s="38">
        <f t="shared" si="14"/>
        <v>61695</v>
      </c>
      <c r="J29" s="38">
        <f t="shared" si="14"/>
        <v>64697</v>
      </c>
      <c r="K29" s="38">
        <f t="shared" si="14"/>
        <v>68030</v>
      </c>
      <c r="L29" s="38">
        <f t="shared" si="12"/>
        <v>510770</v>
      </c>
      <c r="M29" s="59"/>
    </row>
    <row r="30" ht="15.75" customHeight="1"/>
    <row r="31" ht="18.0" customHeight="1">
      <c r="A31" s="14" t="s">
        <v>281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</row>
    <row r="32" ht="15.75" customHeight="1">
      <c r="A32" s="64" t="s">
        <v>282</v>
      </c>
      <c r="B32" s="63">
        <f>Assumptions!$B$51+(Assumptions!$B$52-Assumptions!$B$51)*0/3</f>
        <v>0.376</v>
      </c>
      <c r="C32" s="63">
        <f>Assumptions!$B$51+(Assumptions!$B$52-Assumptions!$B$51)*1/3</f>
        <v>0.3226666667</v>
      </c>
      <c r="D32" s="63">
        <f>Assumptions!$B$51+(Assumptions!$B$52-Assumptions!$B$51)*2/3</f>
        <v>0.2693333333</v>
      </c>
      <c r="E32" s="63">
        <f>Assumptions!$B$52+(Assumptions!$B$70-Assumptions!$B$52)*0/6</f>
        <v>0.216</v>
      </c>
      <c r="F32" s="63">
        <f>Assumptions!$B$52+(Assumptions!$B$70-Assumptions!$B$52)*1/6</f>
        <v>0.2082833333</v>
      </c>
      <c r="G32" s="63">
        <f>Assumptions!$B$52+(Assumptions!$B$70-Assumptions!$B$52)*2/6</f>
        <v>0.2005666667</v>
      </c>
      <c r="H32" s="63">
        <f>Assumptions!$B$52+(Assumptions!$B$70-Assumptions!$B$52)*3/6</f>
        <v>0.19285</v>
      </c>
      <c r="I32" s="63">
        <f>Assumptions!$B$52+(Assumptions!$B$70-Assumptions!$B$52)*4/6</f>
        <v>0.1851333333</v>
      </c>
      <c r="J32" s="63">
        <f>Assumptions!$B$52+(Assumptions!$B$70-Assumptions!$B$52)*5/6</f>
        <v>0.1774166667</v>
      </c>
      <c r="K32" s="63">
        <f>Assumptions!$B$52+(Assumptions!$B$70-Assumptions!$B$52)*6/6</f>
        <v>0.1697</v>
      </c>
      <c r="L32" s="65">
        <f>AVERAGE(B32:K32)</f>
        <v>0.231795</v>
      </c>
      <c r="M32" s="59"/>
    </row>
    <row r="33" ht="15.75" customHeight="1">
      <c r="A33" s="15" t="s">
        <v>283</v>
      </c>
      <c r="B33" s="36">
        <f t="shared" ref="B33:K33" si="15">ROUND(B32*B18,0)</f>
        <v>7831</v>
      </c>
      <c r="C33" s="36">
        <f t="shared" si="15"/>
        <v>14846</v>
      </c>
      <c r="D33" s="36">
        <f t="shared" si="15"/>
        <v>14654</v>
      </c>
      <c r="E33" s="36">
        <f t="shared" si="15"/>
        <v>13299</v>
      </c>
      <c r="F33" s="36">
        <f t="shared" si="15"/>
        <v>13427</v>
      </c>
      <c r="G33" s="36">
        <f t="shared" si="15"/>
        <v>13574</v>
      </c>
      <c r="H33" s="36">
        <f t="shared" si="15"/>
        <v>13703</v>
      </c>
      <c r="I33" s="36">
        <f t="shared" si="15"/>
        <v>13847</v>
      </c>
      <c r="J33" s="36">
        <f t="shared" si="15"/>
        <v>13892</v>
      </c>
      <c r="K33" s="36">
        <f t="shared" si="15"/>
        <v>13949</v>
      </c>
      <c r="L33" s="36">
        <f>SUM(B33:K33)</f>
        <v>133022</v>
      </c>
      <c r="M33" s="59"/>
    </row>
    <row r="34" ht="15.75" customHeight="1">
      <c r="A34" s="64" t="s">
        <v>284</v>
      </c>
      <c r="B34" s="63">
        <f>Assumptions!$B$53</f>
        <v>0.14</v>
      </c>
      <c r="C34" s="63">
        <f>Assumptions!$B$64</f>
        <v>0.12</v>
      </c>
      <c r="D34" s="63">
        <f>Assumptions!$B$65</f>
        <v>0.11</v>
      </c>
      <c r="E34" s="63">
        <f>Assumptions!$B$54</f>
        <v>0.1</v>
      </c>
      <c r="F34" s="63">
        <f>Assumptions!$B$54</f>
        <v>0.1</v>
      </c>
      <c r="G34" s="63">
        <f>Assumptions!$B$54</f>
        <v>0.1</v>
      </c>
      <c r="H34" s="63">
        <f>Assumptions!$B$54</f>
        <v>0.1</v>
      </c>
      <c r="I34" s="63">
        <f>Assumptions!$B$54</f>
        <v>0.1</v>
      </c>
      <c r="J34" s="63">
        <f>Assumptions!$B$54</f>
        <v>0.1</v>
      </c>
      <c r="K34" s="63">
        <f>Assumptions!$B$54</f>
        <v>0.1</v>
      </c>
      <c r="L34" s="65">
        <f>AVERAGE(B34:K34)</f>
        <v>0.107</v>
      </c>
      <c r="M34" s="59"/>
    </row>
    <row r="35" ht="15.75" customHeight="1">
      <c r="A35" s="15" t="s">
        <v>285</v>
      </c>
      <c r="B35" s="36">
        <f t="shared" ref="B35:K35" si="16">ROUND(B34*B18,0)</f>
        <v>2916</v>
      </c>
      <c r="C35" s="36">
        <f t="shared" si="16"/>
        <v>5521</v>
      </c>
      <c r="D35" s="36">
        <f t="shared" si="16"/>
        <v>5985</v>
      </c>
      <c r="E35" s="36">
        <f t="shared" si="16"/>
        <v>6157</v>
      </c>
      <c r="F35" s="36">
        <f t="shared" si="16"/>
        <v>6447</v>
      </c>
      <c r="G35" s="36">
        <f t="shared" si="16"/>
        <v>6768</v>
      </c>
      <c r="H35" s="36">
        <f t="shared" si="16"/>
        <v>7105</v>
      </c>
      <c r="I35" s="36">
        <f t="shared" si="16"/>
        <v>7480</v>
      </c>
      <c r="J35" s="36">
        <f t="shared" si="16"/>
        <v>7830</v>
      </c>
      <c r="K35" s="36">
        <f t="shared" si="16"/>
        <v>8220</v>
      </c>
      <c r="L35" s="36">
        <f t="shared" ref="L35:L36" si="17">SUM(B35:K35)</f>
        <v>64429</v>
      </c>
      <c r="M35" s="59"/>
    </row>
    <row r="36" ht="15.75" customHeight="1">
      <c r="A36" s="15" t="s">
        <v>286</v>
      </c>
      <c r="B36" s="26">
        <f>ROUND(Assumptions!$B$72*B18,0)</f>
        <v>104</v>
      </c>
      <c r="C36" s="26">
        <f>ROUND(Assumptions!$B$72*C18,0)</f>
        <v>230</v>
      </c>
      <c r="D36" s="26">
        <f>ROUND(Assumptions!$B$72*D18,0)</f>
        <v>272</v>
      </c>
      <c r="E36" s="26">
        <f>ROUND(Assumptions!$B$72*E18,0)</f>
        <v>308</v>
      </c>
      <c r="F36" s="26">
        <f>ROUND(Assumptions!$B$72*F18,0)</f>
        <v>322</v>
      </c>
      <c r="G36" s="26">
        <f>ROUND(Assumptions!$B$72*G18,0)</f>
        <v>338</v>
      </c>
      <c r="H36" s="26">
        <f>ROUND(Assumptions!$B$72*H18,0)</f>
        <v>355</v>
      </c>
      <c r="I36" s="26">
        <f>ROUND(Assumptions!$B$72*I18,0)</f>
        <v>374</v>
      </c>
      <c r="J36" s="26">
        <f>ROUND(Assumptions!$B$72*J18,0)</f>
        <v>392</v>
      </c>
      <c r="K36" s="26">
        <f>ROUND(Assumptions!$B$72*K18,0)</f>
        <v>411</v>
      </c>
      <c r="L36" s="36">
        <f t="shared" si="17"/>
        <v>3106</v>
      </c>
      <c r="M36" s="59"/>
    </row>
    <row r="37" ht="15.75" customHeight="1">
      <c r="A37" s="64" t="s">
        <v>287</v>
      </c>
      <c r="B37" s="60">
        <f>Assumptions!$B$55</f>
        <v>0.02</v>
      </c>
      <c r="C37" s="60">
        <f>Assumptions!$B$55</f>
        <v>0.02</v>
      </c>
      <c r="D37" s="60">
        <f>Assumptions!$B$56</f>
        <v>0.04</v>
      </c>
      <c r="E37" s="60">
        <f>Assumptions!$B$56</f>
        <v>0.04</v>
      </c>
      <c r="F37" s="60">
        <f>Assumptions!$B$56</f>
        <v>0.04</v>
      </c>
      <c r="G37" s="60">
        <f>Assumptions!$B$56</f>
        <v>0.04</v>
      </c>
      <c r="H37" s="60">
        <f>Assumptions!$B$56</f>
        <v>0.04</v>
      </c>
      <c r="I37" s="60">
        <f>Assumptions!$B$56</f>
        <v>0.04</v>
      </c>
      <c r="J37" s="60">
        <f>Assumptions!$B$56</f>
        <v>0.04</v>
      </c>
      <c r="K37" s="60">
        <f>Assumptions!$B$56</f>
        <v>0.04</v>
      </c>
      <c r="L37" s="61">
        <f>AVERAGE(B37:K37)</f>
        <v>0.036</v>
      </c>
      <c r="M37" s="59"/>
    </row>
    <row r="38" ht="15.75" customHeight="1">
      <c r="A38" s="15" t="s">
        <v>288</v>
      </c>
      <c r="B38" s="36">
        <f t="shared" ref="B38:K38" si="18">ROUND(B37*B18,0)</f>
        <v>417</v>
      </c>
      <c r="C38" s="36">
        <f t="shared" si="18"/>
        <v>920</v>
      </c>
      <c r="D38" s="36">
        <f t="shared" si="18"/>
        <v>2176</v>
      </c>
      <c r="E38" s="36">
        <f t="shared" si="18"/>
        <v>2463</v>
      </c>
      <c r="F38" s="36">
        <f t="shared" si="18"/>
        <v>2579</v>
      </c>
      <c r="G38" s="36">
        <f t="shared" si="18"/>
        <v>2707</v>
      </c>
      <c r="H38" s="36">
        <f t="shared" si="18"/>
        <v>2842</v>
      </c>
      <c r="I38" s="36">
        <f t="shared" si="18"/>
        <v>2992</v>
      </c>
      <c r="J38" s="36">
        <f t="shared" si="18"/>
        <v>3132</v>
      </c>
      <c r="K38" s="36">
        <f t="shared" si="18"/>
        <v>3288</v>
      </c>
      <c r="L38" s="36">
        <f>SUM(B38:K38)</f>
        <v>23516</v>
      </c>
      <c r="M38" s="59"/>
    </row>
    <row r="39" ht="15.75" customHeight="1">
      <c r="A39" s="64" t="s">
        <v>289</v>
      </c>
      <c r="B39" s="63">
        <f>Assumptions!$B$57</f>
        <v>0.046</v>
      </c>
      <c r="C39" s="63">
        <f>Assumptions!$B$66</f>
        <v>0.0441</v>
      </c>
      <c r="D39" s="63">
        <f>Assumptions!$B$67</f>
        <v>0.042</v>
      </c>
      <c r="E39" s="63">
        <f>Assumptions!$B$58</f>
        <v>0.04</v>
      </c>
      <c r="F39" s="63">
        <f>Assumptions!$B$58+(Assumptions!$B$71-Assumptions!$B$58)*1/6</f>
        <v>0.0387</v>
      </c>
      <c r="G39" s="63">
        <f>Assumptions!$B$58+(Assumptions!$B$71-Assumptions!$B$58)*2/6</f>
        <v>0.0374</v>
      </c>
      <c r="H39" s="63">
        <f>Assumptions!$B$58+(Assumptions!$B$71-Assumptions!$B$58)*3/6</f>
        <v>0.0361</v>
      </c>
      <c r="I39" s="63">
        <f>Assumptions!$B$58+(Assumptions!$B$71-Assumptions!$B$58)*4/6</f>
        <v>0.0348</v>
      </c>
      <c r="J39" s="63">
        <f>Assumptions!$B$58+(Assumptions!$B$71-Assumptions!$B$58)*5/6</f>
        <v>0.0335</v>
      </c>
      <c r="K39" s="63">
        <f>Assumptions!$B$58+(Assumptions!$B$71-Assumptions!$B$58)*6/6</f>
        <v>0.0322</v>
      </c>
      <c r="L39" s="65">
        <f>AVERAGE(B39:K39)</f>
        <v>0.03848</v>
      </c>
      <c r="M39" s="59"/>
    </row>
    <row r="40" ht="15.75" customHeight="1">
      <c r="A40" s="15" t="s">
        <v>290</v>
      </c>
      <c r="B40" s="36">
        <f t="shared" ref="B40:K40" si="19">ROUND(B39*B18,0)</f>
        <v>958</v>
      </c>
      <c r="C40" s="36">
        <f t="shared" si="19"/>
        <v>2029</v>
      </c>
      <c r="D40" s="36">
        <f t="shared" si="19"/>
        <v>2285</v>
      </c>
      <c r="E40" s="36">
        <f t="shared" si="19"/>
        <v>2463</v>
      </c>
      <c r="F40" s="36">
        <f t="shared" si="19"/>
        <v>2495</v>
      </c>
      <c r="G40" s="36">
        <f t="shared" si="19"/>
        <v>2531</v>
      </c>
      <c r="H40" s="36">
        <f t="shared" si="19"/>
        <v>2565</v>
      </c>
      <c r="I40" s="36">
        <f t="shared" si="19"/>
        <v>2603</v>
      </c>
      <c r="J40" s="36">
        <f t="shared" si="19"/>
        <v>2623</v>
      </c>
      <c r="K40" s="36">
        <f t="shared" si="19"/>
        <v>2647</v>
      </c>
      <c r="L40" s="36">
        <f t="shared" ref="L40:L42" si="21">SUM(B40:K40)</f>
        <v>23199</v>
      </c>
      <c r="M40" s="59"/>
    </row>
    <row r="41" ht="18.0" customHeight="1">
      <c r="A41" s="37" t="s">
        <v>291</v>
      </c>
      <c r="B41" s="38">
        <f t="shared" ref="B41:K41" si="20">B33+B35+B36+B38+B40</f>
        <v>12226</v>
      </c>
      <c r="C41" s="38">
        <f t="shared" si="20"/>
        <v>23546</v>
      </c>
      <c r="D41" s="38">
        <f t="shared" si="20"/>
        <v>25372</v>
      </c>
      <c r="E41" s="38">
        <f t="shared" si="20"/>
        <v>24690</v>
      </c>
      <c r="F41" s="38">
        <f t="shared" si="20"/>
        <v>25270</v>
      </c>
      <c r="G41" s="38">
        <f t="shared" si="20"/>
        <v>25918</v>
      </c>
      <c r="H41" s="38">
        <f t="shared" si="20"/>
        <v>26570</v>
      </c>
      <c r="I41" s="38">
        <f t="shared" si="20"/>
        <v>27296</v>
      </c>
      <c r="J41" s="38">
        <f t="shared" si="20"/>
        <v>27869</v>
      </c>
      <c r="K41" s="38">
        <f t="shared" si="20"/>
        <v>28515</v>
      </c>
      <c r="L41" s="38">
        <f t="shared" si="21"/>
        <v>247272</v>
      </c>
      <c r="M41" s="59"/>
    </row>
    <row r="42" ht="18.0" customHeight="1">
      <c r="A42" s="37" t="s">
        <v>292</v>
      </c>
      <c r="B42" s="38">
        <f t="shared" ref="B42:K42" si="22">B29-B41</f>
        <v>4731</v>
      </c>
      <c r="C42" s="38">
        <f t="shared" si="22"/>
        <v>13910</v>
      </c>
      <c r="D42" s="38">
        <f t="shared" si="22"/>
        <v>19061</v>
      </c>
      <c r="E42" s="38">
        <f t="shared" si="22"/>
        <v>25755</v>
      </c>
      <c r="F42" s="38">
        <f t="shared" si="22"/>
        <v>27639</v>
      </c>
      <c r="G42" s="38">
        <f t="shared" si="22"/>
        <v>29719</v>
      </c>
      <c r="H42" s="38">
        <f t="shared" si="22"/>
        <v>31941</v>
      </c>
      <c r="I42" s="38">
        <f t="shared" si="22"/>
        <v>34399</v>
      </c>
      <c r="J42" s="38">
        <f t="shared" si="22"/>
        <v>36828</v>
      </c>
      <c r="K42" s="38">
        <f t="shared" si="22"/>
        <v>39515</v>
      </c>
      <c r="L42" s="38">
        <f t="shared" si="21"/>
        <v>263498</v>
      </c>
      <c r="M42" s="59"/>
    </row>
    <row r="43" ht="15.75" customHeight="1">
      <c r="A43" s="15" t="s">
        <v>293</v>
      </c>
      <c r="B43" s="61">
        <f t="shared" ref="B43:K43" si="23">IF(B18&lt;&gt;0,B42/B18,0)</f>
        <v>0.2271679631</v>
      </c>
      <c r="C43" s="61">
        <f t="shared" si="23"/>
        <v>0.3023321524</v>
      </c>
      <c r="D43" s="61">
        <f t="shared" si="23"/>
        <v>0.3503280707</v>
      </c>
      <c r="E43" s="61">
        <f t="shared" si="23"/>
        <v>0.4183179574</v>
      </c>
      <c r="F43" s="61">
        <f t="shared" si="23"/>
        <v>0.4287309786</v>
      </c>
      <c r="G43" s="61">
        <f t="shared" si="23"/>
        <v>0.4391299851</v>
      </c>
      <c r="H43" s="61">
        <f t="shared" si="23"/>
        <v>0.4495376691</v>
      </c>
      <c r="I43" s="61">
        <f t="shared" si="23"/>
        <v>0.4599104218</v>
      </c>
      <c r="J43" s="61">
        <f t="shared" si="23"/>
        <v>0.4703268074</v>
      </c>
      <c r="K43" s="61">
        <f t="shared" si="23"/>
        <v>0.4807236098</v>
      </c>
      <c r="L43" s="61">
        <f>AVERAGE(B43:K43)</f>
        <v>0.4026505615</v>
      </c>
      <c r="M43" s="59"/>
    </row>
    <row r="44" ht="15.75" customHeight="1"/>
    <row r="45" ht="18.0" customHeight="1">
      <c r="A45" s="14" t="s">
        <v>294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ht="15.75" customHeight="1">
      <c r="A46" s="15" t="s">
        <v>295</v>
      </c>
      <c r="B46" s="26">
        <f>ROUND(Assumptions!$B$73*B18,0)</f>
        <v>625</v>
      </c>
      <c r="C46" s="26">
        <f>ROUND(Assumptions!$B$73*C18,0)</f>
        <v>1380</v>
      </c>
      <c r="D46" s="26">
        <f>ROUND(Assumptions!$B$73*D18,0)</f>
        <v>1632</v>
      </c>
      <c r="E46" s="26">
        <f>ROUND(Assumptions!$B$73*E18,0)</f>
        <v>1847</v>
      </c>
      <c r="F46" s="26">
        <f>ROUND(Assumptions!$B$73*F18,0)</f>
        <v>1934</v>
      </c>
      <c r="G46" s="26">
        <f>ROUND(Assumptions!$B$73*G18,0)</f>
        <v>2030</v>
      </c>
      <c r="H46" s="26">
        <f>ROUND(Assumptions!$B$73*H18,0)</f>
        <v>2132</v>
      </c>
      <c r="I46" s="26">
        <f>ROUND(Assumptions!$B$73*I18,0)</f>
        <v>2244</v>
      </c>
      <c r="J46" s="26">
        <f>ROUND(Assumptions!$B$73*J18,0)</f>
        <v>2349</v>
      </c>
      <c r="K46" s="26">
        <f>ROUND(Assumptions!$B$73*K18,0)</f>
        <v>2466</v>
      </c>
      <c r="L46" s="36">
        <f t="shared" ref="L46:L48" si="25">SUM(B46:K46)</f>
        <v>18639</v>
      </c>
      <c r="M46" s="59"/>
    </row>
    <row r="47" ht="18.0" customHeight="1">
      <c r="A47" s="37" t="s">
        <v>296</v>
      </c>
      <c r="B47" s="38">
        <f t="shared" ref="B47:K47" si="24">B42-B46</f>
        <v>4106</v>
      </c>
      <c r="C47" s="38">
        <f t="shared" si="24"/>
        <v>12530</v>
      </c>
      <c r="D47" s="38">
        <f t="shared" si="24"/>
        <v>17429</v>
      </c>
      <c r="E47" s="38">
        <f t="shared" si="24"/>
        <v>23908</v>
      </c>
      <c r="F47" s="38">
        <f t="shared" si="24"/>
        <v>25705</v>
      </c>
      <c r="G47" s="38">
        <f t="shared" si="24"/>
        <v>27689</v>
      </c>
      <c r="H47" s="38">
        <f t="shared" si="24"/>
        <v>29809</v>
      </c>
      <c r="I47" s="38">
        <f t="shared" si="24"/>
        <v>32155</v>
      </c>
      <c r="J47" s="38">
        <f t="shared" si="24"/>
        <v>34479</v>
      </c>
      <c r="K47" s="38">
        <f t="shared" si="24"/>
        <v>37049</v>
      </c>
      <c r="L47" s="38">
        <f t="shared" si="25"/>
        <v>244859</v>
      </c>
      <c r="M47" s="59"/>
    </row>
    <row r="48" ht="15.75" customHeight="1">
      <c r="A48" s="15" t="s">
        <v>297</v>
      </c>
      <c r="B48" s="26">
        <f>ROUND(MAX(0,Assumptions!$B$76*(B47-Assumptions!$B$77*B18)),0)</f>
        <v>69</v>
      </c>
      <c r="C48" s="26">
        <f>ROUND(MAX(0,Assumptions!$B$76*(C47-Assumptions!$B$77*C18)),0)</f>
        <v>394</v>
      </c>
      <c r="D48" s="26">
        <f>ROUND(MAX(0,Assumptions!$B$76*(D47-Assumptions!$B$77*D18)),0)</f>
        <v>649</v>
      </c>
      <c r="E48" s="26">
        <f>ROUND(MAX(0,Assumptions!$B$76*(E47-Assumptions!$B$77*E18)),0)</f>
        <v>1027</v>
      </c>
      <c r="F48" s="26">
        <f>ROUND(MAX(0,Assumptions!$B$76*(F47-Assumptions!$B$77*F18)),0)</f>
        <v>1122</v>
      </c>
      <c r="G48" s="26">
        <f>ROUND(MAX(0,Assumptions!$B$76*(G47-Assumptions!$B$77*G18)),0)</f>
        <v>1228</v>
      </c>
      <c r="H48" s="26">
        <f>ROUND(MAX(0,Assumptions!$B$76*(H47-Assumptions!$B$77*H18)),0)</f>
        <v>1341</v>
      </c>
      <c r="I48" s="26">
        <f>ROUND(MAX(0,Assumptions!$B$76*(I47-Assumptions!$B$77*I18)),0)</f>
        <v>1466</v>
      </c>
      <c r="J48" s="26">
        <f>ROUND(MAX(0,Assumptions!$B$76*(J47-Assumptions!$B$77*J18)),0)</f>
        <v>1591</v>
      </c>
      <c r="K48" s="26">
        <f>ROUND(MAX(0,Assumptions!$B$76*(K47-Assumptions!$B$77*K18)),0)</f>
        <v>1730</v>
      </c>
      <c r="L48" s="36">
        <f t="shared" si="25"/>
        <v>10617</v>
      </c>
      <c r="M48" s="59"/>
    </row>
    <row r="49" ht="15.75" customHeight="1"/>
    <row r="50" ht="18.0" customHeight="1">
      <c r="A50" s="14" t="s">
        <v>298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ht="15.75" customHeight="1">
      <c r="A51" s="15" t="s">
        <v>299</v>
      </c>
      <c r="B51" s="26">
        <f>ROUND(Assumptions!$B$74*B18,0)</f>
        <v>62</v>
      </c>
      <c r="C51" s="26">
        <f>ROUND(Assumptions!$B$74*C18,0)</f>
        <v>138</v>
      </c>
      <c r="D51" s="26">
        <f>ROUND(Assumptions!$B$74*D18,0)</f>
        <v>163</v>
      </c>
      <c r="E51" s="26">
        <f>ROUND(Assumptions!$B$74*E18,0)</f>
        <v>185</v>
      </c>
      <c r="F51" s="26">
        <f>ROUND(Assumptions!$B$74*F18,0)</f>
        <v>193</v>
      </c>
      <c r="G51" s="26">
        <f>ROUND(Assumptions!$B$74*G18,0)</f>
        <v>203</v>
      </c>
      <c r="H51" s="26">
        <f>ROUND(Assumptions!$B$74*H18,0)</f>
        <v>213</v>
      </c>
      <c r="I51" s="26">
        <f>ROUND(Assumptions!$B$74*I18,0)</f>
        <v>224</v>
      </c>
      <c r="J51" s="26">
        <f>ROUND(Assumptions!$B$74*J18,0)</f>
        <v>235</v>
      </c>
      <c r="K51" s="26">
        <f>ROUND(Assumptions!$B$74*K18,0)</f>
        <v>247</v>
      </c>
      <c r="L51" s="36">
        <f>SUM(B51:K51)</f>
        <v>1863</v>
      </c>
      <c r="M51" s="59"/>
    </row>
    <row r="52" ht="15.75" customHeight="1">
      <c r="A52" s="64" t="s">
        <v>300</v>
      </c>
      <c r="B52" s="63">
        <f>Assumptions!$B$59</f>
        <v>0.01</v>
      </c>
      <c r="C52" s="63">
        <f>Assumptions!$B$68</f>
        <v>0.02</v>
      </c>
      <c r="D52" s="63">
        <f>Assumptions!$B$69</f>
        <v>0.03</v>
      </c>
      <c r="E52" s="63">
        <f>Assumptions!$B$60</f>
        <v>0.04</v>
      </c>
      <c r="F52" s="63">
        <f>Assumptions!$B$60</f>
        <v>0.04</v>
      </c>
      <c r="G52" s="63">
        <f>Assumptions!$B$60</f>
        <v>0.04</v>
      </c>
      <c r="H52" s="63">
        <f>Assumptions!$B$60</f>
        <v>0.04</v>
      </c>
      <c r="I52" s="63">
        <f>Assumptions!$B$60</f>
        <v>0.04</v>
      </c>
      <c r="J52" s="63">
        <f>Assumptions!$B$60</f>
        <v>0.04</v>
      </c>
      <c r="K52" s="63">
        <f>Assumptions!$B$60</f>
        <v>0.04</v>
      </c>
      <c r="L52" s="65">
        <f>AVERAGE(B52:K52)</f>
        <v>0.034</v>
      </c>
      <c r="M52" s="59"/>
    </row>
    <row r="53" ht="15.75" customHeight="1">
      <c r="A53" s="15" t="s">
        <v>301</v>
      </c>
      <c r="B53" s="36">
        <f t="shared" ref="B53:K53" si="26">ROUND(B52*B18,0)</f>
        <v>208</v>
      </c>
      <c r="C53" s="36">
        <f t="shared" si="26"/>
        <v>920</v>
      </c>
      <c r="D53" s="36">
        <f t="shared" si="26"/>
        <v>1632</v>
      </c>
      <c r="E53" s="36">
        <f t="shared" si="26"/>
        <v>2463</v>
      </c>
      <c r="F53" s="36">
        <f t="shared" si="26"/>
        <v>2579</v>
      </c>
      <c r="G53" s="36">
        <f t="shared" si="26"/>
        <v>2707</v>
      </c>
      <c r="H53" s="36">
        <f t="shared" si="26"/>
        <v>2842</v>
      </c>
      <c r="I53" s="36">
        <f t="shared" si="26"/>
        <v>2992</v>
      </c>
      <c r="J53" s="36">
        <f t="shared" si="26"/>
        <v>3132</v>
      </c>
      <c r="K53" s="36">
        <f t="shared" si="26"/>
        <v>3288</v>
      </c>
      <c r="L53" s="36">
        <f t="shared" ref="L53:L54" si="28">SUM(B53:K53)</f>
        <v>22763</v>
      </c>
      <c r="M53" s="59"/>
    </row>
    <row r="54" ht="18.0" customHeight="1">
      <c r="A54" s="37" t="s">
        <v>302</v>
      </c>
      <c r="B54" s="38">
        <f t="shared" ref="B54:K54" si="27">B51+B53</f>
        <v>270</v>
      </c>
      <c r="C54" s="38">
        <f t="shared" si="27"/>
        <v>1058</v>
      </c>
      <c r="D54" s="38">
        <f t="shared" si="27"/>
        <v>1795</v>
      </c>
      <c r="E54" s="38">
        <f t="shared" si="27"/>
        <v>2648</v>
      </c>
      <c r="F54" s="38">
        <f t="shared" si="27"/>
        <v>2772</v>
      </c>
      <c r="G54" s="38">
        <f t="shared" si="27"/>
        <v>2910</v>
      </c>
      <c r="H54" s="38">
        <f t="shared" si="27"/>
        <v>3055</v>
      </c>
      <c r="I54" s="38">
        <f t="shared" si="27"/>
        <v>3216</v>
      </c>
      <c r="J54" s="38">
        <f t="shared" si="27"/>
        <v>3367</v>
      </c>
      <c r="K54" s="38">
        <f t="shared" si="27"/>
        <v>3535</v>
      </c>
      <c r="L54" s="38">
        <f t="shared" si="28"/>
        <v>24626</v>
      </c>
      <c r="M54" s="59"/>
    </row>
    <row r="55" ht="15.75" customHeight="1"/>
    <row r="56" ht="18.0" customHeight="1">
      <c r="A56" s="14" t="s">
        <v>303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</row>
    <row r="57" ht="18.0" customHeight="1">
      <c r="A57" s="37" t="s">
        <v>304</v>
      </c>
      <c r="B57" s="38">
        <f t="shared" ref="B57:K57" si="29">B47-B48-B54</f>
        <v>3767</v>
      </c>
      <c r="C57" s="38">
        <f t="shared" si="29"/>
        <v>11078</v>
      </c>
      <c r="D57" s="38">
        <f t="shared" si="29"/>
        <v>14985</v>
      </c>
      <c r="E57" s="38">
        <f t="shared" si="29"/>
        <v>20233</v>
      </c>
      <c r="F57" s="38">
        <f t="shared" si="29"/>
        <v>21811</v>
      </c>
      <c r="G57" s="38">
        <f t="shared" si="29"/>
        <v>23551</v>
      </c>
      <c r="H57" s="38">
        <f t="shared" si="29"/>
        <v>25413</v>
      </c>
      <c r="I57" s="38">
        <f t="shared" si="29"/>
        <v>27473</v>
      </c>
      <c r="J57" s="38">
        <f t="shared" si="29"/>
        <v>29521</v>
      </c>
      <c r="K57" s="38">
        <f t="shared" si="29"/>
        <v>31784</v>
      </c>
      <c r="L57" s="38">
        <f>SUM(B57:K57)</f>
        <v>209616</v>
      </c>
      <c r="M57" s="59"/>
    </row>
    <row r="58" ht="15.75" customHeight="1">
      <c r="A58" s="15" t="s">
        <v>305</v>
      </c>
      <c r="B58" s="61">
        <f t="shared" ref="B58:K58" si="30">IF(B18&lt;&gt;0,B57/B18,0)</f>
        <v>0.1808796696</v>
      </c>
      <c r="C58" s="61">
        <f t="shared" si="30"/>
        <v>0.240778978</v>
      </c>
      <c r="D58" s="61">
        <f t="shared" si="30"/>
        <v>0.275413994</v>
      </c>
      <c r="E58" s="61">
        <f t="shared" si="30"/>
        <v>0.3286285083</v>
      </c>
      <c r="F58" s="61">
        <f t="shared" si="30"/>
        <v>0.3383281369</v>
      </c>
      <c r="G58" s="61">
        <f t="shared" si="30"/>
        <v>0.3479911935</v>
      </c>
      <c r="H58" s="61">
        <f t="shared" si="30"/>
        <v>0.3576625899</v>
      </c>
      <c r="I58" s="61">
        <f t="shared" si="30"/>
        <v>0.3673106491</v>
      </c>
      <c r="J58" s="61">
        <f t="shared" si="30"/>
        <v>0.3770098208</v>
      </c>
      <c r="K58" s="61">
        <f t="shared" si="30"/>
        <v>0.3866713707</v>
      </c>
      <c r="L58" s="61">
        <f>AVERAGE(B58:K58)</f>
        <v>0.3200674911</v>
      </c>
      <c r="M58" s="59"/>
    </row>
    <row r="59" ht="15.75" hidden="1" customHeight="1">
      <c r="A59" s="15" t="s">
        <v>306</v>
      </c>
      <c r="B59" s="26">
        <f>ROUND(Assumptions!$B$11/Assumptions!$B$16/1000,0)</f>
        <v>2945</v>
      </c>
      <c r="C59" s="26">
        <f>ROUND(Assumptions!$B$11/Assumptions!$B$16/1000,0)</f>
        <v>2945</v>
      </c>
      <c r="D59" s="26">
        <f>ROUND(Assumptions!$B$11/Assumptions!$B$16/1000,0)</f>
        <v>2945</v>
      </c>
      <c r="E59" s="26">
        <f>ROUND(Assumptions!$B$11/Assumptions!$B$16/1000,0)</f>
        <v>2945</v>
      </c>
      <c r="F59" s="26">
        <f>ROUND(Assumptions!$B$11/Assumptions!$B$16/1000,0)</f>
        <v>2945</v>
      </c>
      <c r="G59" s="26">
        <f>ROUND(Assumptions!$B$11/Assumptions!$B$16/1000,0)</f>
        <v>2945</v>
      </c>
      <c r="H59" s="26">
        <f>ROUND(Assumptions!$B$11/Assumptions!$B$16/1000,0)</f>
        <v>2945</v>
      </c>
      <c r="I59" s="26">
        <f>ROUND(Assumptions!$B$11/Assumptions!$B$16/1000,0)</f>
        <v>2945</v>
      </c>
      <c r="J59" s="26">
        <f>ROUND(Assumptions!$B$11/Assumptions!$B$16/1000,0)</f>
        <v>2945</v>
      </c>
      <c r="K59" s="26">
        <f>ROUND(Assumptions!$B$11/Assumptions!$B$16/1000,0)</f>
        <v>2945</v>
      </c>
      <c r="L59" s="36">
        <f t="shared" ref="L59:L62" si="32">SUM(B59:K59)</f>
        <v>29450</v>
      </c>
      <c r="M59" s="59"/>
    </row>
    <row r="60" ht="18.0" hidden="1" customHeight="1">
      <c r="A60" s="37" t="s">
        <v>307</v>
      </c>
      <c r="B60" s="38">
        <f t="shared" ref="B60:K60" si="31">B57-B59</f>
        <v>822</v>
      </c>
      <c r="C60" s="38">
        <f t="shared" si="31"/>
        <v>8133</v>
      </c>
      <c r="D60" s="38">
        <f t="shared" si="31"/>
        <v>12040</v>
      </c>
      <c r="E60" s="38">
        <f t="shared" si="31"/>
        <v>17288</v>
      </c>
      <c r="F60" s="38">
        <f t="shared" si="31"/>
        <v>18866</v>
      </c>
      <c r="G60" s="38">
        <f t="shared" si="31"/>
        <v>20606</v>
      </c>
      <c r="H60" s="38">
        <f t="shared" si="31"/>
        <v>22468</v>
      </c>
      <c r="I60" s="38">
        <f t="shared" si="31"/>
        <v>24528</v>
      </c>
      <c r="J60" s="38">
        <f t="shared" si="31"/>
        <v>26576</v>
      </c>
      <c r="K60" s="38">
        <f t="shared" si="31"/>
        <v>28839</v>
      </c>
      <c r="L60" s="38">
        <f t="shared" si="32"/>
        <v>180166</v>
      </c>
      <c r="M60" s="59"/>
    </row>
    <row r="61" ht="15.75" hidden="1" customHeight="1">
      <c r="A61" s="15" t="s">
        <v>308</v>
      </c>
      <c r="B61" s="26">
        <f>-ROUND(MAX(0,B60*Assumptions!$B$17),0)</f>
        <v>-214</v>
      </c>
      <c r="C61" s="26">
        <f>-ROUND(MAX(0,C60*Assumptions!$B$17),0)</f>
        <v>-2115</v>
      </c>
      <c r="D61" s="26">
        <f>-ROUND(MAX(0,D60*Assumptions!$B$17),0)</f>
        <v>-3130</v>
      </c>
      <c r="E61" s="26">
        <f>-ROUND(MAX(0,E60*Assumptions!$B$17),0)</f>
        <v>-4495</v>
      </c>
      <c r="F61" s="26">
        <f>-ROUND(MAX(0,F60*Assumptions!$B$17),0)</f>
        <v>-4905</v>
      </c>
      <c r="G61" s="26">
        <f>-ROUND(MAX(0,G60*Assumptions!$B$17),0)</f>
        <v>-5358</v>
      </c>
      <c r="H61" s="26">
        <f>-ROUND(MAX(0,H60*Assumptions!$B$17),0)</f>
        <v>-5842</v>
      </c>
      <c r="I61" s="26">
        <f>-ROUND(MAX(0,I60*Assumptions!$B$17),0)</f>
        <v>-6377</v>
      </c>
      <c r="J61" s="26">
        <f>-ROUND(MAX(0,J60*Assumptions!$B$17),0)</f>
        <v>-6910</v>
      </c>
      <c r="K61" s="26">
        <f>-ROUND(MAX(0,K60*Assumptions!$B$17),0)</f>
        <v>-7498</v>
      </c>
      <c r="L61" s="36">
        <f t="shared" si="32"/>
        <v>-46844</v>
      </c>
      <c r="M61" s="59"/>
    </row>
    <row r="62" ht="18.0" hidden="1" customHeight="1">
      <c r="A62" s="37" t="s">
        <v>309</v>
      </c>
      <c r="B62" s="38">
        <f t="shared" ref="B62:K62" si="33">B60+B61</f>
        <v>608</v>
      </c>
      <c r="C62" s="38">
        <f t="shared" si="33"/>
        <v>6018</v>
      </c>
      <c r="D62" s="38">
        <f t="shared" si="33"/>
        <v>8910</v>
      </c>
      <c r="E62" s="38">
        <f t="shared" si="33"/>
        <v>12793</v>
      </c>
      <c r="F62" s="38">
        <f t="shared" si="33"/>
        <v>13961</v>
      </c>
      <c r="G62" s="38">
        <f t="shared" si="33"/>
        <v>15248</v>
      </c>
      <c r="H62" s="38">
        <f t="shared" si="33"/>
        <v>16626</v>
      </c>
      <c r="I62" s="38">
        <f t="shared" si="33"/>
        <v>18151</v>
      </c>
      <c r="J62" s="38">
        <f t="shared" si="33"/>
        <v>19666</v>
      </c>
      <c r="K62" s="38">
        <f t="shared" si="33"/>
        <v>21341</v>
      </c>
      <c r="L62" s="38">
        <f t="shared" si="32"/>
        <v>133322</v>
      </c>
      <c r="M62" s="59"/>
    </row>
    <row r="63" ht="15.75" hidden="1" customHeight="1"/>
    <row r="64" ht="18.0" hidden="1" customHeight="1">
      <c r="A64" s="14" t="s">
        <v>310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</row>
    <row r="65" ht="15.75" hidden="1" customHeight="1">
      <c r="A65" s="15" t="s">
        <v>311</v>
      </c>
      <c r="B65" s="61">
        <f t="shared" ref="B65:K65" si="34">B58</f>
        <v>0.1808796696</v>
      </c>
      <c r="C65" s="61">
        <f t="shared" si="34"/>
        <v>0.240778978</v>
      </c>
      <c r="D65" s="61">
        <f t="shared" si="34"/>
        <v>0.275413994</v>
      </c>
      <c r="E65" s="61">
        <f t="shared" si="34"/>
        <v>0.3286285083</v>
      </c>
      <c r="F65" s="61">
        <f t="shared" si="34"/>
        <v>0.3383281369</v>
      </c>
      <c r="G65" s="61">
        <f t="shared" si="34"/>
        <v>0.3479911935</v>
      </c>
      <c r="H65" s="61">
        <f t="shared" si="34"/>
        <v>0.3576625899</v>
      </c>
      <c r="I65" s="61">
        <f t="shared" si="34"/>
        <v>0.3673106491</v>
      </c>
      <c r="J65" s="61">
        <f t="shared" si="34"/>
        <v>0.3770098208</v>
      </c>
      <c r="K65" s="61">
        <f t="shared" si="34"/>
        <v>0.3866713707</v>
      </c>
      <c r="L65" s="61">
        <f t="shared" ref="L65:L66" si="36">AVERAGE(B65:K65)</f>
        <v>0.3200674911</v>
      </c>
      <c r="M65" s="59"/>
    </row>
    <row r="66" ht="15.75" hidden="1" customHeight="1">
      <c r="A66" s="15" t="s">
        <v>312</v>
      </c>
      <c r="B66" s="61">
        <f t="shared" ref="B66:K66" si="35">IF(B18&lt;&gt;0,B62/B18,0)</f>
        <v>0.02919427639</v>
      </c>
      <c r="C66" s="61">
        <f t="shared" si="35"/>
        <v>0.1308004956</v>
      </c>
      <c r="D66" s="61">
        <f t="shared" si="35"/>
        <v>0.1637596721</v>
      </c>
      <c r="E66" s="61">
        <f t="shared" si="35"/>
        <v>0.2077865125</v>
      </c>
      <c r="F66" s="61">
        <f t="shared" si="35"/>
        <v>0.2165604108</v>
      </c>
      <c r="G66" s="61">
        <f t="shared" si="35"/>
        <v>0.2253054952</v>
      </c>
      <c r="H66" s="61">
        <f t="shared" si="35"/>
        <v>0.2339943423</v>
      </c>
      <c r="I66" s="61">
        <f t="shared" si="35"/>
        <v>0.2426766495</v>
      </c>
      <c r="J66" s="61">
        <f t="shared" si="35"/>
        <v>0.251152574</v>
      </c>
      <c r="K66" s="61">
        <f t="shared" si="35"/>
        <v>0.2596260295</v>
      </c>
      <c r="L66" s="61">
        <f t="shared" si="36"/>
        <v>0.1960856458</v>
      </c>
      <c r="M66" s="59"/>
    </row>
    <row r="67" ht="15.75" hidden="1" customHeight="1">
      <c r="A67" s="15" t="s">
        <v>313</v>
      </c>
      <c r="B67" s="36">
        <f t="shared" ref="B67:K67" si="37">SUM($B$62:B62)</f>
        <v>608</v>
      </c>
      <c r="C67" s="36">
        <f t="shared" si="37"/>
        <v>6626</v>
      </c>
      <c r="D67" s="36">
        <f t="shared" si="37"/>
        <v>15536</v>
      </c>
      <c r="E67" s="36">
        <f t="shared" si="37"/>
        <v>28329</v>
      </c>
      <c r="F67" s="36">
        <f t="shared" si="37"/>
        <v>42290</v>
      </c>
      <c r="G67" s="36">
        <f t="shared" si="37"/>
        <v>57538</v>
      </c>
      <c r="H67" s="36">
        <f t="shared" si="37"/>
        <v>74164</v>
      </c>
      <c r="I67" s="36">
        <f t="shared" si="37"/>
        <v>92315</v>
      </c>
      <c r="J67" s="36">
        <f t="shared" si="37"/>
        <v>111981</v>
      </c>
      <c r="K67" s="36">
        <f t="shared" si="37"/>
        <v>133322</v>
      </c>
      <c r="L67" s="36">
        <f>K67</f>
        <v>133322</v>
      </c>
      <c r="M67" s="59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56:M56"/>
    <mergeCell ref="A64:M64"/>
    <mergeCell ref="A1:M1"/>
    <mergeCell ref="A3:M3"/>
    <mergeCell ref="A13:M13"/>
    <mergeCell ref="A20:M20"/>
    <mergeCell ref="A31:M31"/>
    <mergeCell ref="A45:M45"/>
    <mergeCell ref="A50:M50"/>
  </mergeCells>
  <printOptions/>
  <pageMargins bottom="1.0" footer="0.0" header="0.0" left="0.75" right="0.75" top="1.0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47.43"/>
    <col customWidth="1" min="2" max="20" width="8.0"/>
    <col customWidth="1" min="21" max="26" width="8.71"/>
  </cols>
  <sheetData>
    <row r="1" ht="24.0" customHeight="1">
      <c r="A1" s="12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ht="27.75" customHeight="1">
      <c r="A2" s="33" t="s">
        <v>315</v>
      </c>
      <c r="B2" s="33" t="s">
        <v>316</v>
      </c>
      <c r="C2" s="33" t="s">
        <v>317</v>
      </c>
      <c r="D2" s="33" t="s">
        <v>318</v>
      </c>
      <c r="E2" s="33" t="s">
        <v>319</v>
      </c>
      <c r="F2" s="33" t="s">
        <v>320</v>
      </c>
      <c r="G2" s="33" t="s">
        <v>321</v>
      </c>
      <c r="H2" s="33" t="s">
        <v>322</v>
      </c>
      <c r="I2" s="33" t="s">
        <v>323</v>
      </c>
      <c r="J2" s="33" t="s">
        <v>324</v>
      </c>
      <c r="K2" s="33" t="s">
        <v>325</v>
      </c>
      <c r="L2" s="33" t="s">
        <v>326</v>
      </c>
      <c r="M2" s="33" t="s">
        <v>327</v>
      </c>
      <c r="N2" s="33" t="s">
        <v>328</v>
      </c>
      <c r="O2" s="33" t="s">
        <v>329</v>
      </c>
      <c r="P2" s="33" t="s">
        <v>330</v>
      </c>
      <c r="Q2" s="33" t="s">
        <v>331</v>
      </c>
      <c r="R2" s="33" t="s">
        <v>332</v>
      </c>
      <c r="S2" s="33" t="s">
        <v>333</v>
      </c>
    </row>
    <row r="3" ht="18.0" customHeight="1">
      <c r="A3" s="14" t="s">
        <v>334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ht="16.5" customHeight="1">
      <c r="A4" s="15" t="s">
        <v>335</v>
      </c>
      <c r="C4" s="5"/>
    </row>
    <row r="5" ht="16.5" customHeight="1">
      <c r="A5" s="15" t="s">
        <v>336</v>
      </c>
      <c r="C5" s="5"/>
      <c r="D5" s="5"/>
    </row>
    <row r="6" ht="16.5" customHeight="1">
      <c r="A6" s="15" t="s">
        <v>337</v>
      </c>
      <c r="C6" s="5"/>
    </row>
    <row r="7" ht="18.0" customHeight="1">
      <c r="A7" s="14" t="s">
        <v>338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</row>
    <row r="8" ht="16.5" customHeight="1">
      <c r="A8" s="15" t="s">
        <v>339</v>
      </c>
      <c r="B8" s="66"/>
      <c r="C8" s="66"/>
    </row>
    <row r="9" ht="16.5" customHeight="1">
      <c r="A9" s="15" t="s">
        <v>340</v>
      </c>
      <c r="C9" s="66"/>
      <c r="D9" s="66"/>
      <c r="E9" s="66"/>
      <c r="F9" s="66"/>
    </row>
    <row r="10" ht="16.5" customHeight="1">
      <c r="A10" s="15" t="s">
        <v>341</v>
      </c>
      <c r="B10" s="66"/>
      <c r="C10" s="66"/>
      <c r="D10" s="66"/>
      <c r="E10" s="66"/>
      <c r="F10" s="66"/>
      <c r="G10" s="66"/>
    </row>
    <row r="11" ht="16.5" customHeight="1">
      <c r="A11" s="15" t="s">
        <v>342</v>
      </c>
      <c r="C11" s="66"/>
      <c r="D11" s="66"/>
      <c r="E11" s="66"/>
      <c r="F11" s="66"/>
      <c r="G11" s="66"/>
      <c r="H11" s="66"/>
    </row>
    <row r="12" ht="16.5" customHeight="1">
      <c r="A12" s="15" t="s">
        <v>343</v>
      </c>
      <c r="D12" s="66"/>
      <c r="E12" s="66"/>
      <c r="F12" s="66"/>
      <c r="G12" s="66"/>
      <c r="H12" s="66"/>
    </row>
    <row r="13" ht="16.5" customHeight="1">
      <c r="A13" s="15" t="s">
        <v>344</v>
      </c>
      <c r="H13" s="66"/>
    </row>
    <row r="14" ht="16.5" customHeight="1">
      <c r="A14" s="15" t="s">
        <v>345</v>
      </c>
      <c r="H14" s="66"/>
    </row>
    <row r="15" ht="18.0" customHeight="1">
      <c r="A15" s="14" t="s">
        <v>346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</row>
    <row r="16" ht="16.5" customHeight="1">
      <c r="A16" s="15" t="s">
        <v>347</v>
      </c>
      <c r="H16" s="67"/>
      <c r="I16" s="67"/>
    </row>
    <row r="17" ht="16.5" customHeight="1">
      <c r="A17" s="15" t="s">
        <v>348</v>
      </c>
      <c r="I17" s="67"/>
      <c r="J17" s="67"/>
      <c r="K17" s="67"/>
      <c r="L17" s="67"/>
      <c r="M17" s="67"/>
    </row>
    <row r="18" ht="16.5" customHeight="1">
      <c r="A18" s="15" t="s">
        <v>349</v>
      </c>
      <c r="K18" s="67"/>
      <c r="L18" s="67"/>
      <c r="M18" s="67"/>
    </row>
    <row r="19" ht="16.5" customHeight="1">
      <c r="A19" s="15" t="s">
        <v>350</v>
      </c>
      <c r="L19" s="67"/>
    </row>
    <row r="20" ht="16.5" customHeight="1">
      <c r="A20" s="15" t="s">
        <v>351</v>
      </c>
      <c r="L20" s="67"/>
      <c r="M20" s="67"/>
    </row>
    <row r="21" ht="16.5" customHeight="1">
      <c r="A21" s="15" t="s">
        <v>352</v>
      </c>
      <c r="L21" s="67"/>
      <c r="M21" s="67"/>
    </row>
    <row r="22" ht="16.5" customHeight="1">
      <c r="A22" s="15" t="s">
        <v>353</v>
      </c>
      <c r="M22" s="67"/>
    </row>
    <row r="23" ht="18.0" customHeight="1">
      <c r="A23" s="14" t="s">
        <v>354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</row>
    <row r="24" ht="16.5" customHeight="1">
      <c r="A24" s="15" t="s">
        <v>355</v>
      </c>
      <c r="M24" s="68"/>
      <c r="N24" s="68"/>
    </row>
    <row r="25" ht="16.5" customHeight="1">
      <c r="A25" s="15" t="s">
        <v>356</v>
      </c>
      <c r="N25" s="68"/>
    </row>
    <row r="26" ht="16.5" customHeight="1">
      <c r="A26" s="15" t="s">
        <v>357</v>
      </c>
      <c r="N26" s="68"/>
    </row>
    <row r="27" ht="16.5" customHeight="1">
      <c r="A27" s="15" t="s">
        <v>358</v>
      </c>
    </row>
    <row r="28" ht="15.75" customHeight="1"/>
    <row r="29" ht="18.0" customHeight="1">
      <c r="A29" s="14" t="s">
        <v>359</v>
      </c>
      <c r="B29" s="2"/>
      <c r="C29" s="2"/>
      <c r="D29" s="2"/>
      <c r="E29" s="2"/>
      <c r="F29" s="2"/>
      <c r="G29" s="2"/>
      <c r="H29" s="3"/>
    </row>
    <row r="30" ht="16.5" customHeight="1">
      <c r="A30" s="15" t="s">
        <v>360</v>
      </c>
      <c r="B30" s="69">
        <v>46326.0</v>
      </c>
    </row>
    <row r="31" ht="16.5" customHeight="1">
      <c r="A31" s="15" t="s">
        <v>361</v>
      </c>
      <c r="B31" s="70" t="s">
        <v>362</v>
      </c>
    </row>
    <row r="32" ht="16.5" customHeight="1">
      <c r="A32" s="15" t="s">
        <v>14</v>
      </c>
      <c r="B32" s="70" t="s">
        <v>362</v>
      </c>
    </row>
    <row r="33" ht="16.5" customHeight="1">
      <c r="A33" s="15" t="s">
        <v>363</v>
      </c>
      <c r="B33" s="70" t="s">
        <v>364</v>
      </c>
    </row>
    <row r="34" ht="16.5" customHeight="1">
      <c r="A34" s="15" t="s">
        <v>365</v>
      </c>
      <c r="B34" s="70" t="s">
        <v>366</v>
      </c>
    </row>
    <row r="35" ht="16.5" customHeight="1">
      <c r="A35" s="15" t="s">
        <v>367</v>
      </c>
      <c r="B35" s="70" t="s">
        <v>368</v>
      </c>
    </row>
    <row r="36" ht="16.5" customHeight="1">
      <c r="A36" s="15" t="s">
        <v>369</v>
      </c>
      <c r="B36" s="70" t="s">
        <v>370</v>
      </c>
    </row>
    <row r="37" ht="16.5" customHeight="1">
      <c r="A37" s="15" t="s">
        <v>38</v>
      </c>
      <c r="B37" s="70" t="s">
        <v>39</v>
      </c>
    </row>
    <row r="38" ht="16.5" customHeight="1">
      <c r="A38" s="15" t="s">
        <v>371</v>
      </c>
      <c r="B38" s="69">
        <v>50556.0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31:E31"/>
    <mergeCell ref="B32:E32"/>
    <mergeCell ref="B33:E33"/>
    <mergeCell ref="B34:E34"/>
    <mergeCell ref="B35:E35"/>
    <mergeCell ref="B36:E36"/>
    <mergeCell ref="B37:E37"/>
    <mergeCell ref="B38:E38"/>
    <mergeCell ref="A1:T1"/>
    <mergeCell ref="A3:S3"/>
    <mergeCell ref="A7:S7"/>
    <mergeCell ref="A15:S15"/>
    <mergeCell ref="A23:S23"/>
    <mergeCell ref="A29:H29"/>
    <mergeCell ref="B30:E30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2026-06-03T09:57:35Z</dcterms:created>
  <dc:creator>openpyxl</dc:creator>
</cp:coreProperties>
</file>